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SILVIA\AreaComune\FORMAT-OFFERTE - fornitura e posa-FORFAIT e ECONOMIA\"/>
    </mc:Choice>
  </mc:AlternateContent>
  <bookViews>
    <workbookView xWindow="0" yWindow="75" windowWidth="12585" windowHeight="12285"/>
  </bookViews>
  <sheets>
    <sheet name="20-03-2017" sheetId="5" r:id="rId1"/>
    <sheet name="computo TIPO &quot;A&quot;" sheetId="8" r:id="rId2"/>
    <sheet name="computo TIPO &quot;B&quot;" sheetId="9" r:id="rId3"/>
    <sheet name="fattore di ricarica" sheetId="4" r:id="rId4"/>
  </sheets>
  <definedNames>
    <definedName name="_xlnm.Print_Area" localSheetId="0">'20-03-2017'!$M$1:$X$47</definedName>
  </definedNames>
  <calcPr calcId="162913"/>
</workbook>
</file>

<file path=xl/calcChain.xml><?xml version="1.0" encoding="utf-8"?>
<calcChain xmlns="http://schemas.openxmlformats.org/spreadsheetml/2006/main">
  <c r="X5" i="9" l="1"/>
  <c r="L7" i="9"/>
  <c r="K7" i="9" s="1"/>
  <c r="X7" i="9"/>
  <c r="L8" i="9"/>
  <c r="K8" i="9" s="1"/>
  <c r="F9" i="9"/>
  <c r="L9" i="9"/>
  <c r="K9" i="9" s="1"/>
  <c r="X9" i="9"/>
  <c r="X11" i="9"/>
  <c r="L12" i="9"/>
  <c r="K12" i="9" s="1"/>
  <c r="K13" i="9"/>
  <c r="L13" i="9"/>
  <c r="X13" i="9"/>
  <c r="F14" i="9"/>
  <c r="L14" i="9" s="1"/>
  <c r="X15" i="9"/>
  <c r="L17" i="9"/>
  <c r="M17" i="9"/>
  <c r="X17" i="9"/>
  <c r="L18" i="9"/>
  <c r="M18" i="9"/>
  <c r="F19" i="9"/>
  <c r="L19" i="9" s="1"/>
  <c r="M19" i="9" s="1"/>
  <c r="X19" i="9"/>
  <c r="V21" i="9"/>
  <c r="X21" i="9"/>
  <c r="L22" i="9"/>
  <c r="M22" i="9"/>
  <c r="V29" i="9" s="1"/>
  <c r="X23" i="9"/>
  <c r="L24" i="9"/>
  <c r="M24" i="9"/>
  <c r="F25" i="9"/>
  <c r="L25" i="9" s="1"/>
  <c r="X25" i="9"/>
  <c r="X27" i="9"/>
  <c r="X29" i="9"/>
  <c r="J30" i="9"/>
  <c r="J35" i="9" s="1"/>
  <c r="L35" i="9" s="1"/>
  <c r="K30" i="9"/>
  <c r="J31" i="9"/>
  <c r="K31" i="9" s="1"/>
  <c r="X31" i="9"/>
  <c r="J32" i="9"/>
  <c r="K32" i="9" s="1"/>
  <c r="F33" i="9"/>
  <c r="J33" i="9"/>
  <c r="K33" i="9" s="1"/>
  <c r="X33" i="9"/>
  <c r="J34" i="9"/>
  <c r="K34" i="9" s="1"/>
  <c r="X35" i="9"/>
  <c r="L37" i="9"/>
  <c r="L41" i="9" s="1"/>
  <c r="X37" i="9"/>
  <c r="L38" i="9"/>
  <c r="K38" i="9" s="1"/>
  <c r="F39" i="9"/>
  <c r="L39" i="9"/>
  <c r="K39" i="9" s="1"/>
  <c r="V39" i="9"/>
  <c r="X39" i="9"/>
  <c r="L40" i="9"/>
  <c r="K40" i="9" s="1"/>
  <c r="X41" i="9"/>
  <c r="K43" i="9"/>
  <c r="L43" i="9"/>
  <c r="L47" i="9" s="1"/>
  <c r="X43" i="9"/>
  <c r="K44" i="9"/>
  <c r="L44" i="9"/>
  <c r="F45" i="9"/>
  <c r="L45" i="9"/>
  <c r="K45" i="9" s="1"/>
  <c r="X45" i="9"/>
  <c r="L46" i="9"/>
  <c r="K46" i="9" s="1"/>
  <c r="X47" i="9"/>
  <c r="K49" i="9"/>
  <c r="L49" i="9"/>
  <c r="X49" i="9"/>
  <c r="K50" i="9"/>
  <c r="L50" i="9"/>
  <c r="F51" i="9"/>
  <c r="L51" i="9" s="1"/>
  <c r="X51" i="9"/>
  <c r="K52" i="9"/>
  <c r="L52" i="9"/>
  <c r="L55" i="9"/>
  <c r="M55" i="9" s="1"/>
  <c r="M58" i="9" s="1"/>
  <c r="L56" i="9"/>
  <c r="M56" i="9"/>
  <c r="L57" i="9"/>
  <c r="M57" i="9" s="1"/>
  <c r="K60" i="9"/>
  <c r="V37" i="9" s="1"/>
  <c r="K62" i="9"/>
  <c r="V33" i="9" s="1"/>
  <c r="K64" i="9"/>
  <c r="K66" i="9"/>
  <c r="V41" i="9" s="1"/>
  <c r="K68" i="9"/>
  <c r="V45" i="9" s="1"/>
  <c r="K72" i="9"/>
  <c r="L72" i="9"/>
  <c r="F73" i="9"/>
  <c r="L73" i="9" s="1"/>
  <c r="K76" i="9"/>
  <c r="L76" i="9" s="1"/>
  <c r="K78" i="9"/>
  <c r="L78" i="9"/>
  <c r="F80" i="9"/>
  <c r="L80" i="9" s="1"/>
  <c r="K80" i="9" s="1"/>
  <c r="F82" i="9"/>
  <c r="L82" i="9" s="1"/>
  <c r="K82" i="9" s="1"/>
  <c r="J84" i="9"/>
  <c r="K84" i="9"/>
  <c r="F85" i="9"/>
  <c r="J85" i="9" s="1"/>
  <c r="F86" i="9"/>
  <c r="J86" i="9"/>
  <c r="K86" i="9" s="1"/>
  <c r="F89" i="9"/>
  <c r="L89" i="9" s="1"/>
  <c r="M89" i="9" s="1"/>
  <c r="V23" i="9" s="1"/>
  <c r="L93" i="9"/>
  <c r="M93" i="9" s="1"/>
  <c r="M95" i="9" s="1"/>
  <c r="F94" i="9"/>
  <c r="L94" i="9"/>
  <c r="M94" i="9"/>
  <c r="J97" i="9"/>
  <c r="L97" i="9" s="1"/>
  <c r="K97" i="9"/>
  <c r="V9" i="9" s="1"/>
  <c r="L101" i="9"/>
  <c r="M101" i="9"/>
  <c r="L102" i="9"/>
  <c r="M102" i="9" s="1"/>
  <c r="M103" i="9" s="1"/>
  <c r="L105" i="9"/>
  <c r="M105" i="9" s="1"/>
  <c r="V25" i="9" s="1"/>
  <c r="K107" i="9"/>
  <c r="K109" i="9"/>
  <c r="K111" i="9"/>
  <c r="V43" i="9" s="1"/>
  <c r="K113" i="9"/>
  <c r="V35" i="9" s="1"/>
  <c r="J117" i="9"/>
  <c r="K117" i="9"/>
  <c r="V47" i="9" s="1"/>
  <c r="J119" i="9"/>
  <c r="K119" i="9" s="1"/>
  <c r="V49" i="9" s="1"/>
  <c r="K5" i="8"/>
  <c r="K6" i="8"/>
  <c r="K7" i="8"/>
  <c r="H8" i="8"/>
  <c r="K8" i="8" s="1"/>
  <c r="K19" i="8" s="1"/>
  <c r="H9" i="8"/>
  <c r="K9" i="8" s="1"/>
  <c r="H10" i="8"/>
  <c r="K10" i="8" s="1"/>
  <c r="K11" i="8"/>
  <c r="K12" i="8"/>
  <c r="K13" i="8"/>
  <c r="K14" i="8"/>
  <c r="K15" i="8"/>
  <c r="K16" i="8"/>
  <c r="K17" i="8"/>
  <c r="K18" i="8"/>
  <c r="K23" i="8"/>
  <c r="K24" i="8"/>
  <c r="K25" i="8"/>
  <c r="K26" i="8"/>
  <c r="K27" i="8" s="1"/>
  <c r="K30" i="8"/>
  <c r="K31" i="8"/>
  <c r="K32" i="8"/>
  <c r="K33" i="8"/>
  <c r="K34" i="8" s="1"/>
  <c r="K35" i="8"/>
  <c r="N35" i="8" s="1"/>
  <c r="Q35" i="8" s="1"/>
  <c r="K37" i="8"/>
  <c r="K38" i="8"/>
  <c r="K40" i="8" s="1"/>
  <c r="K39" i="8"/>
  <c r="K55" i="8"/>
  <c r="K56" i="8"/>
  <c r="K67" i="8" s="1"/>
  <c r="H57" i="8"/>
  <c r="K57" i="8"/>
  <c r="K58" i="8"/>
  <c r="K59" i="8"/>
  <c r="K60" i="8"/>
  <c r="H61" i="8"/>
  <c r="K61" i="8" s="1"/>
  <c r="K62" i="8"/>
  <c r="K63" i="8"/>
  <c r="K64" i="8"/>
  <c r="K65" i="8"/>
  <c r="K66" i="8"/>
  <c r="K71" i="8"/>
  <c r="K77" i="8" s="1"/>
  <c r="K72" i="8"/>
  <c r="H73" i="8"/>
  <c r="K73" i="8" s="1"/>
  <c r="K74" i="8"/>
  <c r="K75" i="8"/>
  <c r="K76" i="8"/>
  <c r="K81" i="8"/>
  <c r="K82" i="8"/>
  <c r="H83" i="8"/>
  <c r="K83" i="8" s="1"/>
  <c r="K84" i="8"/>
  <c r="K85" i="8"/>
  <c r="K86" i="8"/>
  <c r="K91" i="8"/>
  <c r="K97" i="8" s="1"/>
  <c r="K92" i="8"/>
  <c r="H93" i="8"/>
  <c r="K93" i="8" s="1"/>
  <c r="K94" i="8"/>
  <c r="K95" i="8"/>
  <c r="K96" i="8"/>
  <c r="K47" i="9" l="1"/>
  <c r="V15" i="9" s="1"/>
  <c r="L53" i="9"/>
  <c r="K51" i="9"/>
  <c r="L20" i="9"/>
  <c r="M20" i="9"/>
  <c r="V27" i="9" s="1"/>
  <c r="K85" i="9"/>
  <c r="K87" i="9" s="1"/>
  <c r="V7" i="9" s="1"/>
  <c r="J87" i="9"/>
  <c r="L87" i="9" s="1"/>
  <c r="K73" i="9"/>
  <c r="K74" i="9" s="1"/>
  <c r="L74" i="9"/>
  <c r="K53" i="9"/>
  <c r="K35" i="9"/>
  <c r="V5" i="9" s="1"/>
  <c r="K10" i="9"/>
  <c r="L26" i="9"/>
  <c r="M25" i="9"/>
  <c r="M26" i="9" s="1"/>
  <c r="V31" i="9" s="1"/>
  <c r="K14" i="9"/>
  <c r="L15" i="9"/>
  <c r="K15" i="9"/>
  <c r="V13" i="9" s="1"/>
  <c r="K37" i="9"/>
  <c r="K41" i="9" s="1"/>
  <c r="L10" i="9"/>
  <c r="V19" i="9"/>
  <c r="L103" i="9"/>
  <c r="L58" i="9"/>
  <c r="L95" i="9"/>
  <c r="K78" i="8"/>
  <c r="K79" i="8"/>
  <c r="N79" i="8" s="1"/>
  <c r="Q79" i="8" s="1"/>
  <c r="K20" i="8"/>
  <c r="K21" i="8"/>
  <c r="N21" i="8" s="1"/>
  <c r="Q21" i="8" s="1"/>
  <c r="K87" i="8"/>
  <c r="K98" i="8"/>
  <c r="K99" i="8"/>
  <c r="N99" i="8" s="1"/>
  <c r="Q99" i="8" s="1"/>
  <c r="K68" i="8"/>
  <c r="K69" i="8"/>
  <c r="N69" i="8" s="1"/>
  <c r="Q69" i="8" s="1"/>
  <c r="K41" i="8"/>
  <c r="K42" i="8"/>
  <c r="N42" i="8" s="1"/>
  <c r="Q42" i="8" s="1"/>
  <c r="K28" i="8"/>
  <c r="N28" i="8" s="1"/>
  <c r="Q28" i="8" s="1"/>
  <c r="V17" i="9" l="1"/>
  <c r="M123" i="9"/>
  <c r="V51" i="9" s="1"/>
  <c r="V11" i="9"/>
  <c r="K88" i="8"/>
  <c r="K89" i="8"/>
  <c r="N89" i="8" s="1"/>
  <c r="Q89" i="8" s="1"/>
  <c r="V39" i="5" l="1"/>
  <c r="X39" i="5"/>
  <c r="W39" i="5"/>
  <c r="U39" i="5"/>
  <c r="W37" i="5"/>
  <c r="X35" i="5"/>
  <c r="W35" i="5"/>
  <c r="X36" i="5"/>
  <c r="W36" i="5"/>
  <c r="X29" i="5"/>
  <c r="X30" i="5"/>
  <c r="X31" i="5"/>
  <c r="X32" i="5"/>
  <c r="X33" i="5"/>
  <c r="X28" i="5"/>
  <c r="W28" i="5"/>
  <c r="W29" i="5"/>
  <c r="W30" i="5"/>
  <c r="W31" i="5"/>
  <c r="W32" i="5"/>
  <c r="W33" i="5"/>
  <c r="R20" i="5"/>
  <c r="R13" i="5"/>
  <c r="R12" i="5"/>
  <c r="Q7" i="5"/>
  <c r="Q6" i="5"/>
  <c r="X25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7" i="5"/>
  <c r="X6" i="5"/>
  <c r="W25" i="5"/>
  <c r="W24" i="5"/>
  <c r="W9" i="5"/>
  <c r="W10" i="5"/>
  <c r="W11" i="5"/>
  <c r="W12" i="5"/>
  <c r="W13" i="5"/>
  <c r="W14" i="5"/>
  <c r="W15" i="5"/>
  <c r="W16" i="5"/>
  <c r="W17" i="5"/>
  <c r="W18" i="5"/>
  <c r="W19" i="5"/>
  <c r="W26" i="5" s="1"/>
  <c r="W20" i="5"/>
  <c r="W21" i="5"/>
  <c r="W22" i="5"/>
  <c r="W23" i="5"/>
  <c r="W7" i="5"/>
  <c r="W8" i="5"/>
  <c r="W6" i="5"/>
  <c r="V37" i="5"/>
  <c r="U37" i="5"/>
  <c r="X37" i="5" l="1"/>
  <c r="X26" i="5"/>
  <c r="N29" i="5"/>
  <c r="O29" i="5" l="1"/>
  <c r="M29" i="5"/>
  <c r="H29" i="5"/>
  <c r="D29" i="5" s="1"/>
  <c r="V29" i="5" s="1"/>
  <c r="U29" i="5" l="1"/>
  <c r="O36" i="5"/>
  <c r="N36" i="5"/>
  <c r="M36" i="5"/>
  <c r="H36" i="5"/>
  <c r="D36" i="5" s="1"/>
  <c r="U36" i="5" s="1"/>
  <c r="O35" i="5"/>
  <c r="N35" i="5"/>
  <c r="M35" i="5"/>
  <c r="H35" i="5"/>
  <c r="D35" i="5" s="1"/>
  <c r="U35" i="5" l="1"/>
  <c r="V35" i="5"/>
  <c r="V36" i="5"/>
  <c r="O28" i="5" l="1"/>
  <c r="N28" i="5"/>
  <c r="M28" i="5"/>
  <c r="H28" i="5"/>
  <c r="D28" i="5" s="1"/>
  <c r="U28" i="5" s="1"/>
  <c r="V28" i="5" l="1"/>
  <c r="O32" i="5"/>
  <c r="N32" i="5"/>
  <c r="M32" i="5"/>
  <c r="H32" i="5"/>
  <c r="D32" i="5" s="1"/>
  <c r="V32" i="5" l="1"/>
  <c r="U32" i="5"/>
  <c r="H33" i="5"/>
  <c r="D33" i="5" s="1"/>
  <c r="U33" i="5" s="1"/>
  <c r="O12" i="5" l="1"/>
  <c r="N12" i="5"/>
  <c r="M12" i="5"/>
  <c r="H12" i="5"/>
  <c r="D12" i="5" s="1"/>
  <c r="U12" i="5" s="1"/>
  <c r="H13" i="5"/>
  <c r="D13" i="5" s="1"/>
  <c r="U13" i="5" s="1"/>
  <c r="M13" i="5"/>
  <c r="N13" i="5"/>
  <c r="O13" i="5"/>
  <c r="O23" i="5"/>
  <c r="N23" i="5"/>
  <c r="M23" i="5"/>
  <c r="H23" i="5"/>
  <c r="D23" i="5" s="1"/>
  <c r="U23" i="5" s="1"/>
  <c r="V12" i="5" l="1"/>
  <c r="V13" i="5"/>
  <c r="V23" i="5"/>
  <c r="O33" i="5" l="1"/>
  <c r="N33" i="5"/>
  <c r="M33" i="5"/>
  <c r="O31" i="5"/>
  <c r="N31" i="5"/>
  <c r="M31" i="5"/>
  <c r="H31" i="5"/>
  <c r="D31" i="5" s="1"/>
  <c r="O30" i="5"/>
  <c r="N30" i="5"/>
  <c r="M30" i="5"/>
  <c r="H30" i="5"/>
  <c r="D30" i="5" s="1"/>
  <c r="O7" i="5"/>
  <c r="N7" i="5"/>
  <c r="M7" i="5"/>
  <c r="H7" i="5"/>
  <c r="D7" i="5" s="1"/>
  <c r="O18" i="5"/>
  <c r="N18" i="5"/>
  <c r="M18" i="5"/>
  <c r="H18" i="5"/>
  <c r="D18" i="5" s="1"/>
  <c r="O15" i="5"/>
  <c r="N15" i="5"/>
  <c r="M15" i="5"/>
  <c r="H15" i="5"/>
  <c r="D15" i="5" s="1"/>
  <c r="O14" i="5"/>
  <c r="N14" i="5"/>
  <c r="M14" i="5"/>
  <c r="H14" i="5"/>
  <c r="D14" i="5" s="1"/>
  <c r="U31" i="5" l="1"/>
  <c r="V14" i="5"/>
  <c r="U14" i="5"/>
  <c r="V7" i="5"/>
  <c r="U7" i="5"/>
  <c r="U30" i="5"/>
  <c r="V15" i="5"/>
  <c r="U15" i="5"/>
  <c r="V18" i="5"/>
  <c r="U18" i="5"/>
  <c r="V31" i="5"/>
  <c r="V30" i="5"/>
  <c r="V33" i="5"/>
  <c r="O11" i="5"/>
  <c r="N11" i="5"/>
  <c r="M11" i="5"/>
  <c r="H11" i="5"/>
  <c r="D11" i="5" s="1"/>
  <c r="U11" i="5" s="1"/>
  <c r="O9" i="5"/>
  <c r="N9" i="5"/>
  <c r="M9" i="5"/>
  <c r="H9" i="5"/>
  <c r="D9" i="5" s="1"/>
  <c r="O8" i="5"/>
  <c r="N8" i="5"/>
  <c r="M8" i="5"/>
  <c r="H8" i="5"/>
  <c r="D8" i="5" s="1"/>
  <c r="U8" i="5" s="1"/>
  <c r="V9" i="5" l="1"/>
  <c r="U9" i="5"/>
  <c r="V11" i="5"/>
  <c r="V8" i="5"/>
  <c r="M3" i="5"/>
  <c r="M2" i="5"/>
  <c r="M1" i="5"/>
  <c r="H22" i="5" l="1"/>
  <c r="D22" i="5" s="1"/>
  <c r="U22" i="5" s="1"/>
  <c r="M22" i="5"/>
  <c r="N22" i="5"/>
  <c r="O22" i="5"/>
  <c r="H10" i="5"/>
  <c r="D10" i="5" s="1"/>
  <c r="U10" i="5" s="1"/>
  <c r="M10" i="5"/>
  <c r="N10" i="5"/>
  <c r="O10" i="5"/>
  <c r="O25" i="5"/>
  <c r="N25" i="5"/>
  <c r="M25" i="5"/>
  <c r="H25" i="5"/>
  <c r="D25" i="5" s="1"/>
  <c r="U25" i="5" s="1"/>
  <c r="O24" i="5"/>
  <c r="N24" i="5"/>
  <c r="M24" i="5"/>
  <c r="H24" i="5"/>
  <c r="D24" i="5" s="1"/>
  <c r="U24" i="5" s="1"/>
  <c r="O21" i="5"/>
  <c r="N21" i="5"/>
  <c r="M21" i="5"/>
  <c r="H21" i="5"/>
  <c r="D21" i="5" s="1"/>
  <c r="U21" i="5" s="1"/>
  <c r="O20" i="5"/>
  <c r="N20" i="5"/>
  <c r="M20" i="5"/>
  <c r="H20" i="5"/>
  <c r="D20" i="5" s="1"/>
  <c r="U20" i="5" s="1"/>
  <c r="O19" i="5"/>
  <c r="N19" i="5"/>
  <c r="M19" i="5"/>
  <c r="H19" i="5"/>
  <c r="D19" i="5" s="1"/>
  <c r="U19" i="5" s="1"/>
  <c r="O17" i="5"/>
  <c r="N17" i="5"/>
  <c r="M17" i="5"/>
  <c r="H17" i="5"/>
  <c r="D17" i="5" s="1"/>
  <c r="U17" i="5" s="1"/>
  <c r="O16" i="5"/>
  <c r="N16" i="5"/>
  <c r="M16" i="5"/>
  <c r="H16" i="5"/>
  <c r="D16" i="5" s="1"/>
  <c r="U16" i="5" s="1"/>
  <c r="O6" i="5"/>
  <c r="N6" i="5"/>
  <c r="M6" i="5"/>
  <c r="H6" i="5"/>
  <c r="D6" i="5" s="1"/>
  <c r="U6" i="5" s="1"/>
  <c r="U26" i="5" s="1"/>
  <c r="V25" i="5" l="1"/>
  <c r="V24" i="5"/>
  <c r="V22" i="5"/>
  <c r="V21" i="5"/>
  <c r="V20" i="5"/>
  <c r="V19" i="5"/>
  <c r="V17" i="5"/>
  <c r="V16" i="5"/>
  <c r="V10" i="5"/>
  <c r="V6" i="5"/>
  <c r="V26" i="5" l="1"/>
</calcChain>
</file>

<file path=xl/sharedStrings.xml><?xml version="1.0" encoding="utf-8"?>
<sst xmlns="http://schemas.openxmlformats.org/spreadsheetml/2006/main" count="480" uniqueCount="171">
  <si>
    <t>TIPOLOGIA MATERIALE</t>
  </si>
  <si>
    <t>DIMENSIONI</t>
  </si>
  <si>
    <t>PREZZO FINALE</t>
  </si>
  <si>
    <t>RICARICO</t>
  </si>
  <si>
    <t>COSTO STANDARD</t>
  </si>
  <si>
    <t>PREZZO FORNITORE</t>
  </si>
  <si>
    <t>FATTORE DI MOLTIPLICAZIONE</t>
  </si>
  <si>
    <t>RESA:   Ns. dep. di Villanova di Camposampiero</t>
  </si>
  <si>
    <t>% ARR.</t>
  </si>
  <si>
    <t>alla c.a. Sig.</t>
  </si>
  <si>
    <t>COSTO LAVORAZIONE</t>
  </si>
  <si>
    <t xml:space="preserve">COSTO TRASPORTO ALL'AZIENDA </t>
  </si>
  <si>
    <t>CALCESTRUZZO</t>
  </si>
  <si>
    <t>PAGAMENTO: vedi offerta di posa</t>
  </si>
  <si>
    <t>sacchi da 25 kg</t>
  </si>
  <si>
    <t>U.M.</t>
  </si>
  <si>
    <t>kg</t>
  </si>
  <si>
    <t>RETTANGOLI</t>
  </si>
  <si>
    <t>CEMENTO PLASTICO</t>
  </si>
  <si>
    <t>MATERASSINO</t>
  </si>
  <si>
    <t>INTONACO</t>
  </si>
  <si>
    <t>RGV DIPLASTIT D65-3</t>
  </si>
  <si>
    <t>fustini da 20 kg</t>
  </si>
  <si>
    <t>7320x610x25</t>
  </si>
  <si>
    <t>TUNDISH 4</t>
  </si>
  <si>
    <t>n.</t>
  </si>
  <si>
    <t>14640x610x13</t>
  </si>
  <si>
    <t>PLASTICO</t>
  </si>
  <si>
    <t>RGV RAM 85 HS</t>
  </si>
  <si>
    <t>scatola da 25 kg</t>
  </si>
  <si>
    <t xml:space="preserve">RGV 60 ALU </t>
  </si>
  <si>
    <t>PERTOLDI MICHELE</t>
  </si>
  <si>
    <t>250x250x68/62</t>
  </si>
  <si>
    <t>RGV AT 60A DC 2GG6</t>
  </si>
  <si>
    <t>RGV AT 60A DC 2GG10</t>
  </si>
  <si>
    <t>250x250x69/59</t>
  </si>
  <si>
    <t>RGV AT 60A 2B RT</t>
  </si>
  <si>
    <t>250x187x64</t>
  </si>
  <si>
    <t>230x114x64</t>
  </si>
  <si>
    <t>LASTRA</t>
  </si>
  <si>
    <t>RGV SIL 1000</t>
  </si>
  <si>
    <t>1000x500x30</t>
  </si>
  <si>
    <t>1000x500x50</t>
  </si>
  <si>
    <t>SW 607 HT 128 BLANKET</t>
  </si>
  <si>
    <t>SW PLUS 64 BLANKET</t>
  </si>
  <si>
    <t>FIBRA MORBIDA</t>
  </si>
  <si>
    <t>RG FILL 607HT BIO</t>
  </si>
  <si>
    <t>cartucce da gr. 300</t>
  </si>
  <si>
    <t>COMPAC SOL M64 COR 6</t>
  </si>
  <si>
    <t xml:space="preserve">LEGANTE </t>
  </si>
  <si>
    <t>DIVASIL</t>
  </si>
  <si>
    <t>RGV DIDURIT M60-6</t>
  </si>
  <si>
    <t>220x220x60/55</t>
  </si>
  <si>
    <t>220x220x60/50</t>
  </si>
  <si>
    <t>vedi disegno</t>
  </si>
  <si>
    <t>IMPOSTA DI VOLTA</t>
  </si>
  <si>
    <t>SAGOMATI IN CLS</t>
  </si>
  <si>
    <t>ESCO MONTAGNA S.R.L.</t>
  </si>
  <si>
    <t>via Nazionale 11, Arta Terme (UD)</t>
  </si>
  <si>
    <t>tel. 0433 929975 - fax. 0433 929981 - P.I. 02522090303</t>
  </si>
  <si>
    <t>TEMPI DI CONSEGNA:   vedi offerta di posa</t>
  </si>
  <si>
    <t>TRASPORTO:  vedi offerta di posa</t>
  </si>
  <si>
    <t>a seguito offerta di posa n. 519 in data 20/03/2017</t>
  </si>
  <si>
    <t>IMBALLO:  compreso</t>
  </si>
  <si>
    <t>SPESE DI GESTIONE ORDINE</t>
  </si>
  <si>
    <t>FILL 607 HT BIO</t>
  </si>
  <si>
    <t>220x110x60</t>
  </si>
  <si>
    <t>ANCORAGGI</t>
  </si>
  <si>
    <t>GANCI</t>
  </si>
  <si>
    <t>ANGOLARI</t>
  </si>
  <si>
    <t>BA 22 SIRMA 264</t>
  </si>
  <si>
    <t>PROFILO "L" AISI 310</t>
  </si>
  <si>
    <t>ANCOLARI</t>
  </si>
  <si>
    <t>TERMORETRAIBILE</t>
  </si>
  <si>
    <t>TRASPORTO</t>
  </si>
  <si>
    <t>a forfait</t>
  </si>
  <si>
    <t>a PL</t>
  </si>
  <si>
    <t>IMBALLO PL</t>
  </si>
  <si>
    <t>IMPORTO TOTALE VOLTA</t>
  </si>
  <si>
    <t>IMPORTO TOTALE PARETE</t>
  </si>
  <si>
    <t>QUANTITA' INVIATA PARETE</t>
  </si>
  <si>
    <t>QUANTITA' INVIATA VOLTA</t>
  </si>
  <si>
    <t>UAB 23 RT</t>
  </si>
  <si>
    <t>JM 23 ECO RT</t>
  </si>
  <si>
    <t>GANCI A MARTELLO AISI 310</t>
  </si>
  <si>
    <t>da 200x50 e 150x50</t>
  </si>
  <si>
    <t>GIUNTI DI DILATAZIONE</t>
  </si>
  <si>
    <t>consegna e ritiro</t>
  </si>
  <si>
    <t>QUANTITA' RESA VOLTA</t>
  </si>
  <si>
    <t>QUANTITA' RESA PARETE</t>
  </si>
  <si>
    <t>IMPORTO RESO VOLTA</t>
  </si>
  <si>
    <t>IMPORTO RESO PARETE</t>
  </si>
  <si>
    <t>rotoli</t>
  </si>
  <si>
    <t>mc</t>
  </si>
  <si>
    <t>mq</t>
  </si>
  <si>
    <t>SW PLUS BLANKET 128</t>
  </si>
  <si>
    <t>SW PLUS BLANKET 96</t>
  </si>
  <si>
    <t>lastre</t>
  </si>
  <si>
    <t xml:space="preserve">LDR  D100 </t>
  </si>
  <si>
    <t xml:space="preserve">Sp. </t>
  </si>
  <si>
    <t>Largh.</t>
  </si>
  <si>
    <t>Lung.</t>
  </si>
  <si>
    <t>n. strati</t>
  </si>
  <si>
    <t>P.V. Kg/mc</t>
  </si>
  <si>
    <t>Sp. mm</t>
  </si>
  <si>
    <t>Largh. mm</t>
  </si>
  <si>
    <t>Lungh. mm</t>
  </si>
  <si>
    <t>Tipologia</t>
  </si>
  <si>
    <t>Costo TOTALE</t>
  </si>
  <si>
    <t>Costo STD</t>
  </si>
  <si>
    <t>quantità totale</t>
  </si>
  <si>
    <t>SFRIDO</t>
  </si>
  <si>
    <t>QUANTITA' NETTE</t>
  </si>
  <si>
    <t>MISURE impianto ( mt. )</t>
  </si>
  <si>
    <t>MATERIALE intervento</t>
  </si>
  <si>
    <t>sezione B</t>
  </si>
  <si>
    <t>sezione A</t>
  </si>
  <si>
    <t>SUREBOND 1WA</t>
  </si>
  <si>
    <t>CEM. PLASTICO</t>
  </si>
  <si>
    <t>MALTE PER POSA MATTONI</t>
  </si>
  <si>
    <t xml:space="preserve">CERACHEM 128 </t>
  </si>
  <si>
    <t>GIUNTI DI DILATAZZIONE</t>
  </si>
  <si>
    <t>Ø8</t>
  </si>
  <si>
    <t>F 119</t>
  </si>
  <si>
    <t>Ø12</t>
  </si>
  <si>
    <r>
      <t xml:space="preserve"> </t>
    </r>
    <r>
      <rPr>
        <b/>
        <sz val="10"/>
        <color theme="1"/>
        <rFont val="Calibri"/>
        <family val="2"/>
        <scheme val="minor"/>
      </rPr>
      <t>L</t>
    </r>
  </si>
  <si>
    <t>TIRANTI</t>
  </si>
  <si>
    <t>INOX</t>
  </si>
  <si>
    <t>CUFFIE</t>
  </si>
  <si>
    <t>APG 47</t>
  </si>
  <si>
    <t>kg/mc</t>
  </si>
  <si>
    <t>KERLITE 80AT</t>
  </si>
  <si>
    <t>C.L.S.</t>
  </si>
  <si>
    <t>PHLOX 1560</t>
  </si>
  <si>
    <t>VOLTA PIANE - TRAVI INGRESSO</t>
  </si>
  <si>
    <t>CERABOARD 100</t>
  </si>
  <si>
    <t>BRUCIATORI</t>
  </si>
  <si>
    <t>KERLITE 130M</t>
  </si>
  <si>
    <t>BLOCK PLUS</t>
  </si>
  <si>
    <t>ISOLMOS 450</t>
  </si>
  <si>
    <t>CLASSE 23</t>
  </si>
  <si>
    <t xml:space="preserve">RETTANGOLI </t>
  </si>
  <si>
    <t>60/40</t>
  </si>
  <si>
    <t>ALU 60</t>
  </si>
  <si>
    <t>COLTELLI</t>
  </si>
  <si>
    <t>60/50</t>
  </si>
  <si>
    <t>CONDOTTO FUMO</t>
  </si>
  <si>
    <r>
      <t>TIPO</t>
    </r>
    <r>
      <rPr>
        <b/>
        <sz val="10"/>
        <color theme="1"/>
        <rFont val="Calibri"/>
        <family val="2"/>
        <scheme val="minor"/>
      </rPr>
      <t xml:space="preserve"> SS 100 </t>
    </r>
    <r>
      <rPr>
        <sz val="10"/>
        <color theme="1"/>
        <rFont val="Calibri"/>
        <family val="2"/>
        <scheme val="minor"/>
      </rPr>
      <t>AISI 310</t>
    </r>
  </si>
  <si>
    <t>CALOR CA</t>
  </si>
  <si>
    <t>CALSIL 1000</t>
  </si>
  <si>
    <t>GIBRAM</t>
  </si>
  <si>
    <t>PARETI LATERALI</t>
  </si>
  <si>
    <t>REFRABLOK F140</t>
  </si>
  <si>
    <t>SUOLA</t>
  </si>
  <si>
    <t>sp</t>
  </si>
  <si>
    <t>la</t>
  </si>
  <si>
    <t>lu</t>
  </si>
  <si>
    <t>SP</t>
  </si>
  <si>
    <t>n°</t>
  </si>
  <si>
    <t>H</t>
  </si>
  <si>
    <t>L</t>
  </si>
  <si>
    <t>PREZZO</t>
  </si>
  <si>
    <t>UNITAì DI MISURA</t>
  </si>
  <si>
    <t>QUANTITA'</t>
  </si>
  <si>
    <t>DIMENSIONI MATERIALE mm</t>
  </si>
  <si>
    <t>DESCRIZIONE MATERIALI</t>
  </si>
  <si>
    <t>P.V.</t>
  </si>
  <si>
    <t>n° pezzi</t>
  </si>
  <si>
    <t>MISURE STRUTTURA mt</t>
  </si>
  <si>
    <t>DIM. MATERIALE mm</t>
  </si>
  <si>
    <t>FORNO DA FORGIA PER C.RE.F.IN.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</si>
</sst>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&quot;€&quot;\ #,##0.00"/>
    <numFmt numFmtId="166" formatCode="#,##0.0000\ &quot;€&quot;"/>
    <numFmt numFmtId="167" formatCode="#,##0.00\ &quot;€&quot;"/>
    <numFmt numFmtId="168" formatCode="0.000"/>
    <numFmt numFmtId="169" formatCode="_-&quot;€&quot;\ * #,##0.00_-;\-&quot;€&quot;\ * #,##0.00_-;_-&quot;€&quot;\ * &quot;-&quot;??_-;_-@_-"/>
    <numFmt numFmtId="170" formatCode="0.0"/>
  </numFmts>
  <fonts count="22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2" fillId="0" borderId="0" xfId="0" applyNumberFormat="1" applyFont="1" applyFill="1" applyBorder="1"/>
    <xf numFmtId="9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9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0" fontId="2" fillId="0" borderId="0" xfId="0" applyFont="1" applyFill="1" applyBorder="1"/>
    <xf numFmtId="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9" fontId="2" fillId="0" borderId="18" xfId="0" applyNumberFormat="1" applyFont="1" applyBorder="1" applyAlignment="1">
      <alignment horizontal="right"/>
    </xf>
    <xf numFmtId="10" fontId="2" fillId="0" borderId="1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right"/>
    </xf>
    <xf numFmtId="9" fontId="2" fillId="0" borderId="19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9" fontId="2" fillId="0" borderId="17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23" xfId="0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66" fontId="2" fillId="0" borderId="0" xfId="0" applyNumberFormat="1" applyFont="1"/>
    <xf numFmtId="0" fontId="5" fillId="0" borderId="39" xfId="0" applyFont="1" applyBorder="1" applyAlignment="1">
      <alignment horizontal="center"/>
    </xf>
    <xf numFmtId="167" fontId="2" fillId="2" borderId="4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indent="2"/>
    </xf>
    <xf numFmtId="165" fontId="5" fillId="0" borderId="42" xfId="0" applyNumberFormat="1" applyFont="1" applyFill="1" applyBorder="1" applyAlignment="1">
      <alignment horizontal="right" indent="1"/>
    </xf>
    <xf numFmtId="167" fontId="2" fillId="0" borderId="42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5" fontId="5" fillId="3" borderId="12" xfId="0" applyNumberFormat="1" applyFont="1" applyFill="1" applyBorder="1" applyAlignment="1">
      <alignment horizontal="right" indent="1"/>
    </xf>
    <xf numFmtId="165" fontId="5" fillId="3" borderId="35" xfId="0" applyNumberFormat="1" applyFont="1" applyFill="1" applyBorder="1" applyAlignment="1">
      <alignment horizontal="right" indent="1"/>
    </xf>
    <xf numFmtId="0" fontId="5" fillId="4" borderId="3" xfId="0" applyFont="1" applyFill="1" applyBorder="1" applyAlignment="1">
      <alignment horizontal="right" indent="2"/>
    </xf>
    <xf numFmtId="0" fontId="5" fillId="4" borderId="20" xfId="0" applyFont="1" applyFill="1" applyBorder="1" applyAlignment="1">
      <alignment horizontal="right" indent="2"/>
    </xf>
    <xf numFmtId="0" fontId="5" fillId="4" borderId="34" xfId="0" applyFont="1" applyFill="1" applyBorder="1" applyAlignment="1">
      <alignment horizontal="right" indent="2"/>
    </xf>
    <xf numFmtId="165" fontId="5" fillId="4" borderId="12" xfId="0" applyNumberFormat="1" applyFont="1" applyFill="1" applyBorder="1" applyAlignment="1">
      <alignment horizontal="right" indent="1"/>
    </xf>
    <xf numFmtId="165" fontId="5" fillId="4" borderId="35" xfId="0" applyNumberFormat="1" applyFont="1" applyFill="1" applyBorder="1" applyAlignment="1">
      <alignment horizontal="right" indent="1"/>
    </xf>
    <xf numFmtId="165" fontId="5" fillId="4" borderId="0" xfId="0" applyNumberFormat="1" applyFont="1" applyFill="1" applyBorder="1" applyAlignment="1">
      <alignment horizontal="right" indent="1"/>
    </xf>
    <xf numFmtId="167" fontId="5" fillId="4" borderId="2" xfId="0" applyNumberFormat="1" applyFont="1" applyFill="1" applyBorder="1" applyAlignment="1">
      <alignment horizontal="right" indent="2"/>
    </xf>
    <xf numFmtId="167" fontId="5" fillId="4" borderId="17" xfId="0" applyNumberFormat="1" applyFont="1" applyFill="1" applyBorder="1" applyAlignment="1">
      <alignment horizontal="right" indent="2"/>
    </xf>
    <xf numFmtId="167" fontId="5" fillId="4" borderId="47" xfId="0" applyNumberFormat="1" applyFont="1" applyFill="1" applyBorder="1" applyAlignment="1">
      <alignment horizontal="right" indent="2"/>
    </xf>
    <xf numFmtId="0" fontId="5" fillId="4" borderId="37" xfId="0" applyFont="1" applyFill="1" applyBorder="1" applyAlignment="1">
      <alignment horizontal="right" indent="2"/>
    </xf>
    <xf numFmtId="0" fontId="5" fillId="4" borderId="40" xfId="0" applyFont="1" applyFill="1" applyBorder="1" applyAlignment="1">
      <alignment horizontal="right" indent="2"/>
    </xf>
    <xf numFmtId="165" fontId="5" fillId="4" borderId="38" xfId="0" applyNumberFormat="1" applyFont="1" applyFill="1" applyBorder="1" applyAlignment="1">
      <alignment horizontal="right" indent="1"/>
    </xf>
    <xf numFmtId="165" fontId="5" fillId="4" borderId="21" xfId="0" applyNumberFormat="1" applyFont="1" applyFill="1" applyBorder="1" applyAlignment="1">
      <alignment horizontal="right" indent="1"/>
    </xf>
    <xf numFmtId="0" fontId="5" fillId="3" borderId="37" xfId="0" applyFont="1" applyFill="1" applyBorder="1" applyAlignment="1">
      <alignment horizontal="right" indent="2"/>
    </xf>
    <xf numFmtId="0" fontId="5" fillId="3" borderId="40" xfId="0" applyFont="1" applyFill="1" applyBorder="1" applyAlignment="1">
      <alignment horizontal="right" indent="2"/>
    </xf>
    <xf numFmtId="0" fontId="5" fillId="3" borderId="20" xfId="0" applyFont="1" applyFill="1" applyBorder="1" applyAlignment="1">
      <alignment horizontal="right" indent="2"/>
    </xf>
    <xf numFmtId="0" fontId="5" fillId="3" borderId="34" xfId="0" applyFont="1" applyFill="1" applyBorder="1" applyAlignment="1">
      <alignment horizontal="right" indent="2"/>
    </xf>
    <xf numFmtId="165" fontId="5" fillId="3" borderId="38" xfId="0" applyNumberFormat="1" applyFont="1" applyFill="1" applyBorder="1" applyAlignment="1">
      <alignment horizontal="right" indent="1"/>
    </xf>
    <xf numFmtId="165" fontId="5" fillId="3" borderId="21" xfId="0" applyNumberFormat="1" applyFont="1" applyFill="1" applyBorder="1" applyAlignment="1">
      <alignment horizontal="right" indent="1"/>
    </xf>
    <xf numFmtId="167" fontId="5" fillId="3" borderId="43" xfId="0" applyNumberFormat="1" applyFont="1" applyFill="1" applyBorder="1" applyAlignment="1">
      <alignment horizontal="right" indent="2"/>
    </xf>
    <xf numFmtId="167" fontId="5" fillId="3" borderId="45" xfId="0" applyNumberFormat="1" applyFont="1" applyFill="1" applyBorder="1" applyAlignment="1">
      <alignment horizontal="right" indent="2"/>
    </xf>
    <xf numFmtId="167" fontId="5" fillId="3" borderId="46" xfId="0" applyNumberFormat="1" applyFont="1" applyFill="1" applyBorder="1" applyAlignment="1">
      <alignment horizontal="right" indent="2"/>
    </xf>
    <xf numFmtId="0" fontId="5" fillId="3" borderId="3" xfId="0" applyFont="1" applyFill="1" applyBorder="1" applyAlignment="1">
      <alignment horizontal="right" indent="2"/>
    </xf>
    <xf numFmtId="0" fontId="10" fillId="4" borderId="3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7" fontId="5" fillId="4" borderId="48" xfId="0" applyNumberFormat="1" applyFont="1" applyFill="1" applyBorder="1" applyAlignment="1">
      <alignment horizontal="right" indent="2"/>
    </xf>
    <xf numFmtId="167" fontId="5" fillId="4" borderId="49" xfId="0" applyNumberFormat="1" applyFont="1" applyFill="1" applyBorder="1" applyAlignment="1">
      <alignment horizontal="right" indent="2"/>
    </xf>
    <xf numFmtId="167" fontId="5" fillId="4" borderId="50" xfId="0" applyNumberFormat="1" applyFont="1" applyFill="1" applyBorder="1" applyAlignment="1">
      <alignment horizontal="right" indent="2"/>
    </xf>
    <xf numFmtId="165" fontId="5" fillId="3" borderId="51" xfId="0" applyNumberFormat="1" applyFont="1" applyFill="1" applyBorder="1" applyAlignment="1">
      <alignment horizontal="right" indent="1"/>
    </xf>
    <xf numFmtId="165" fontId="5" fillId="3" borderId="52" xfId="0" applyNumberFormat="1" applyFont="1" applyFill="1" applyBorder="1" applyAlignment="1">
      <alignment horizontal="right" indent="1"/>
    </xf>
    <xf numFmtId="165" fontId="5" fillId="3" borderId="53" xfId="0" applyNumberFormat="1" applyFont="1" applyFill="1" applyBorder="1" applyAlignment="1">
      <alignment horizontal="right" indent="1"/>
    </xf>
    <xf numFmtId="165" fontId="5" fillId="3" borderId="0" xfId="0" applyNumberFormat="1" applyFont="1" applyFill="1" applyBorder="1" applyAlignment="1">
      <alignment horizontal="right" indent="1"/>
    </xf>
    <xf numFmtId="16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0" fillId="0" borderId="54" xfId="0" applyNumberFormat="1" applyBorder="1"/>
    <xf numFmtId="165" fontId="0" fillId="0" borderId="55" xfId="0" applyNumberFormat="1" applyBorder="1"/>
    <xf numFmtId="2" fontId="0" fillId="0" borderId="55" xfId="0" applyNumberFormat="1" applyBorder="1"/>
    <xf numFmtId="9" fontId="0" fillId="0" borderId="55" xfId="0" applyNumberFormat="1" applyBorder="1"/>
    <xf numFmtId="1" fontId="0" fillId="0" borderId="55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165" fontId="0" fillId="0" borderId="57" xfId="0" applyNumberFormat="1" applyBorder="1"/>
    <xf numFmtId="165" fontId="0" fillId="0" borderId="58" xfId="0" applyNumberFormat="1" applyBorder="1"/>
    <xf numFmtId="1" fontId="0" fillId="0" borderId="59" xfId="0" applyNumberFormat="1" applyBorder="1"/>
    <xf numFmtId="1" fontId="0" fillId="0" borderId="60" xfId="0" applyNumberFormat="1" applyBorder="1"/>
    <xf numFmtId="9" fontId="0" fillId="0" borderId="61" xfId="0" applyNumberFormat="1" applyBorder="1" applyAlignment="1">
      <alignment horizontal="center"/>
    </xf>
    <xf numFmtId="0" fontId="0" fillId="2" borderId="28" xfId="0" applyFill="1" applyBorder="1" applyAlignment="1">
      <alignment horizontal="left" vertical="center"/>
    </xf>
    <xf numFmtId="1" fontId="0" fillId="2" borderId="24" xfId="0" applyNumberForma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165" fontId="0" fillId="0" borderId="63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9" fontId="0" fillId="0" borderId="0" xfId="0" applyNumberFormat="1" applyBorder="1" applyAlignment="1">
      <alignment horizontal="center"/>
    </xf>
    <xf numFmtId="168" fontId="0" fillId="2" borderId="24" xfId="0" applyNumberFormat="1" applyFill="1" applyBorder="1" applyAlignment="1">
      <alignment horizontal="right" vertical="center"/>
    </xf>
    <xf numFmtId="0" fontId="0" fillId="0" borderId="62" xfId="0" applyBorder="1" applyAlignment="1">
      <alignment horizontal="center"/>
    </xf>
    <xf numFmtId="0" fontId="0" fillId="2" borderId="64" xfId="0" applyFill="1" applyBorder="1" applyAlignment="1">
      <alignment horizontal="left" vertical="center"/>
    </xf>
    <xf numFmtId="168" fontId="0" fillId="2" borderId="56" xfId="0" applyNumberFormat="1" applyFill="1" applyBorder="1" applyAlignment="1">
      <alignment horizontal="right" vertical="center"/>
    </xf>
    <xf numFmtId="0" fontId="0" fillId="0" borderId="65" xfId="0" applyBorder="1" applyAlignment="1">
      <alignment horizontal="left" vertical="center"/>
    </xf>
    <xf numFmtId="168" fontId="0" fillId="0" borderId="66" xfId="0" applyNumberFormat="1" applyBorder="1" applyAlignment="1">
      <alignment horizontal="right" vertical="center"/>
    </xf>
    <xf numFmtId="168" fontId="0" fillId="0" borderId="58" xfId="0" applyNumberFormat="1" applyBorder="1" applyAlignment="1">
      <alignment horizontal="right" vertical="center"/>
    </xf>
    <xf numFmtId="1" fontId="0" fillId="0" borderId="58" xfId="0" applyNumberFormat="1" applyBorder="1" applyAlignment="1">
      <alignment horizontal="right" vertical="center"/>
    </xf>
    <xf numFmtId="1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168" fontId="0" fillId="0" borderId="60" xfId="0" applyNumberForma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0" fillId="0" borderId="67" xfId="0" applyBorder="1"/>
    <xf numFmtId="0" fontId="0" fillId="0" borderId="42" xfId="0" applyBorder="1"/>
    <xf numFmtId="0" fontId="0" fillId="0" borderId="68" xfId="0" applyBorder="1"/>
    <xf numFmtId="0" fontId="0" fillId="0" borderId="6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9" fontId="0" fillId="0" borderId="0" xfId="0" applyNumberFormat="1" applyBorder="1"/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5" fontId="14" fillId="0" borderId="72" xfId="0" applyNumberFormat="1" applyFont="1" applyBorder="1" applyAlignment="1">
      <alignment horizontal="right" indent="1"/>
    </xf>
    <xf numFmtId="165" fontId="15" fillId="0" borderId="72" xfId="0" applyNumberFormat="1" applyFont="1" applyBorder="1"/>
    <xf numFmtId="2" fontId="14" fillId="0" borderId="73" xfId="0" applyNumberFormat="1" applyFont="1" applyBorder="1" applyAlignment="1">
      <alignment horizontal="right" vertical="center" indent="1"/>
    </xf>
    <xf numFmtId="2" fontId="14" fillId="0" borderId="74" xfId="0" applyNumberFormat="1" applyFont="1" applyBorder="1" applyAlignment="1">
      <alignment horizontal="right" vertical="center" indent="1"/>
    </xf>
    <xf numFmtId="2" fontId="14" fillId="0" borderId="75" xfId="0" applyNumberFormat="1" applyFont="1" applyBorder="1" applyAlignment="1">
      <alignment horizontal="right" vertical="center" indent="1"/>
    </xf>
    <xf numFmtId="168" fontId="14" fillId="0" borderId="76" xfId="0" applyNumberFormat="1" applyFont="1" applyBorder="1" applyAlignment="1">
      <alignment horizontal="right" vertical="center" indent="1"/>
    </xf>
    <xf numFmtId="170" fontId="14" fillId="0" borderId="74" xfId="0" applyNumberFormat="1" applyFont="1" applyBorder="1" applyAlignment="1">
      <alignment horizontal="right" indent="1"/>
    </xf>
    <xf numFmtId="2" fontId="14" fillId="0" borderId="74" xfId="0" applyNumberFormat="1" applyFont="1" applyBorder="1" applyAlignment="1">
      <alignment horizontal="right" indent="1"/>
    </xf>
    <xf numFmtId="2" fontId="14" fillId="0" borderId="75" xfId="0" applyNumberFormat="1" applyFont="1" applyBorder="1" applyAlignment="1">
      <alignment horizontal="right" indent="1"/>
    </xf>
    <xf numFmtId="1" fontId="14" fillId="0" borderId="73" xfId="0" applyNumberFormat="1" applyFont="1" applyBorder="1" applyAlignment="1">
      <alignment horizontal="right" indent="1"/>
    </xf>
    <xf numFmtId="1" fontId="14" fillId="0" borderId="74" xfId="0" applyNumberFormat="1" applyFont="1" applyBorder="1" applyAlignment="1">
      <alignment horizontal="right" indent="1"/>
    </xf>
    <xf numFmtId="1" fontId="14" fillId="0" borderId="75" xfId="0" applyNumberFormat="1" applyFont="1" applyBorder="1" applyAlignment="1">
      <alignment horizontal="right" indent="1"/>
    </xf>
    <xf numFmtId="0" fontId="14" fillId="0" borderId="77" xfId="0" applyFont="1" applyBorder="1"/>
    <xf numFmtId="0" fontId="14" fillId="0" borderId="78" xfId="0" applyFont="1" applyBorder="1"/>
    <xf numFmtId="165" fontId="14" fillId="0" borderId="79" xfId="0" applyNumberFormat="1" applyFont="1" applyBorder="1" applyAlignment="1">
      <alignment horizontal="right" indent="1"/>
    </xf>
    <xf numFmtId="165" fontId="15" fillId="0" borderId="79" xfId="0" applyNumberFormat="1" applyFont="1" applyBorder="1"/>
    <xf numFmtId="2" fontId="15" fillId="0" borderId="80" xfId="0" applyNumberFormat="1" applyFont="1" applyBorder="1" applyAlignment="1">
      <alignment horizontal="right" indent="1"/>
    </xf>
    <xf numFmtId="2" fontId="14" fillId="0" borderId="81" xfId="0" applyNumberFormat="1" applyFont="1" applyBorder="1" applyAlignment="1">
      <alignment horizontal="right" indent="1"/>
    </xf>
    <xf numFmtId="170" fontId="15" fillId="0" borderId="81" xfId="0" applyNumberFormat="1" applyFont="1" applyBorder="1" applyAlignment="1">
      <alignment horizontal="right" vertical="center" indent="1"/>
    </xf>
    <xf numFmtId="2" fontId="14" fillId="0" borderId="82" xfId="0" applyNumberFormat="1" applyFont="1" applyBorder="1" applyAlignment="1">
      <alignment horizontal="right" vertical="center" indent="1"/>
    </xf>
    <xf numFmtId="168" fontId="14" fillId="0" borderId="80" xfId="0" applyNumberFormat="1" applyFont="1" applyBorder="1" applyAlignment="1">
      <alignment horizontal="right" vertical="center" indent="1"/>
    </xf>
    <xf numFmtId="170" fontId="14" fillId="0" borderId="81" xfId="0" applyNumberFormat="1" applyFont="1" applyBorder="1" applyAlignment="1">
      <alignment horizontal="right" indent="1"/>
    </xf>
    <xf numFmtId="2" fontId="14" fillId="0" borderId="82" xfId="0" applyNumberFormat="1" applyFont="1" applyBorder="1" applyAlignment="1">
      <alignment horizontal="right" indent="1"/>
    </xf>
    <xf numFmtId="1" fontId="14" fillId="0" borderId="80" xfId="0" applyNumberFormat="1" applyFont="1" applyBorder="1" applyAlignment="1">
      <alignment horizontal="right" indent="1"/>
    </xf>
    <xf numFmtId="1" fontId="14" fillId="0" borderId="81" xfId="0" applyNumberFormat="1" applyFont="1" applyBorder="1" applyAlignment="1">
      <alignment horizontal="right" indent="1"/>
    </xf>
    <xf numFmtId="1" fontId="14" fillId="0" borderId="82" xfId="0" applyNumberFormat="1" applyFont="1" applyBorder="1" applyAlignment="1">
      <alignment horizontal="right" indent="1"/>
    </xf>
    <xf numFmtId="0" fontId="14" fillId="0" borderId="83" xfId="0" applyFont="1" applyBorder="1"/>
    <xf numFmtId="0" fontId="14" fillId="0" borderId="84" xfId="0" applyFont="1" applyBorder="1"/>
    <xf numFmtId="0" fontId="11" fillId="2" borderId="80" xfId="0" applyFont="1" applyFill="1" applyBorder="1" applyAlignment="1">
      <alignment horizontal="center" vertical="center"/>
    </xf>
    <xf numFmtId="0" fontId="16" fillId="2" borderId="82" xfId="0" applyFont="1" applyFill="1" applyBorder="1" applyAlignment="1">
      <alignment horizontal="center" vertical="center"/>
    </xf>
    <xf numFmtId="170" fontId="15" fillId="0" borderId="85" xfId="0" applyNumberFormat="1" applyFont="1" applyBorder="1" applyAlignment="1">
      <alignment horizontal="right" vertical="center" indent="1"/>
    </xf>
    <xf numFmtId="0" fontId="14" fillId="0" borderId="0" xfId="0" applyFont="1"/>
    <xf numFmtId="1" fontId="17" fillId="0" borderId="80" xfId="0" applyNumberFormat="1" applyFont="1" applyBorder="1" applyAlignment="1">
      <alignment horizontal="right" indent="1"/>
    </xf>
    <xf numFmtId="2" fontId="15" fillId="0" borderId="86" xfId="0" applyNumberFormat="1" applyFont="1" applyBorder="1" applyAlignment="1">
      <alignment horizontal="right" indent="1"/>
    </xf>
    <xf numFmtId="2" fontId="14" fillId="0" borderId="85" xfId="0" applyNumberFormat="1" applyFont="1" applyBorder="1" applyAlignment="1">
      <alignment horizontal="right" indent="1"/>
    </xf>
    <xf numFmtId="2" fontId="15" fillId="0" borderId="73" xfId="0" applyNumberFormat="1" applyFont="1" applyBorder="1" applyAlignment="1">
      <alignment horizontal="right" indent="1"/>
    </xf>
    <xf numFmtId="168" fontId="14" fillId="0" borderId="87" xfId="0" applyNumberFormat="1" applyFont="1" applyBorder="1" applyAlignment="1">
      <alignment horizontal="right" vertical="center" indent="1"/>
    </xf>
    <xf numFmtId="0" fontId="19" fillId="0" borderId="83" xfId="0" applyFont="1" applyBorder="1"/>
    <xf numFmtId="168" fontId="14" fillId="0" borderId="83" xfId="0" applyNumberFormat="1" applyFont="1" applyBorder="1" applyAlignment="1">
      <alignment horizontal="right" indent="1"/>
    </xf>
    <xf numFmtId="0" fontId="14" fillId="0" borderId="81" xfId="0" applyFont="1" applyBorder="1"/>
    <xf numFmtId="165" fontId="14" fillId="0" borderId="88" xfId="0" applyNumberFormat="1" applyFont="1" applyBorder="1" applyAlignment="1">
      <alignment horizontal="right" indent="1"/>
    </xf>
    <xf numFmtId="2" fontId="15" fillId="0" borderId="81" xfId="0" applyNumberFormat="1" applyFont="1" applyBorder="1" applyAlignment="1">
      <alignment horizontal="right" vertical="center" indent="1"/>
    </xf>
    <xf numFmtId="0" fontId="14" fillId="0" borderId="80" xfId="0" applyNumberFormat="1" applyFont="1" applyBorder="1" applyAlignment="1">
      <alignment horizontal="right" indent="1"/>
    </xf>
    <xf numFmtId="2" fontId="14" fillId="0" borderId="80" xfId="0" applyNumberFormat="1" applyFont="1" applyBorder="1" applyAlignment="1">
      <alignment horizontal="right" vertical="center" indent="1"/>
    </xf>
    <xf numFmtId="2" fontId="14" fillId="0" borderId="81" xfId="0" applyNumberFormat="1" applyFont="1" applyBorder="1" applyAlignment="1">
      <alignment horizontal="right" vertical="center" indent="1"/>
    </xf>
    <xf numFmtId="2" fontId="14" fillId="0" borderId="89" xfId="0" applyNumberFormat="1" applyFont="1" applyBorder="1" applyAlignment="1">
      <alignment horizontal="right" vertical="center" indent="1"/>
    </xf>
    <xf numFmtId="170" fontId="15" fillId="0" borderId="74" xfId="0" applyNumberFormat="1" applyFont="1" applyBorder="1" applyAlignment="1">
      <alignment horizontal="right" vertical="center" indent="1"/>
    </xf>
    <xf numFmtId="0" fontId="14" fillId="0" borderId="80" xfId="0" applyFont="1" applyBorder="1" applyAlignment="1">
      <alignment horizontal="right" indent="1"/>
    </xf>
    <xf numFmtId="0" fontId="15" fillId="0" borderId="80" xfId="0" applyFont="1" applyBorder="1" applyAlignment="1">
      <alignment horizontal="right" indent="1"/>
    </xf>
    <xf numFmtId="0" fontId="14" fillId="0" borderId="81" xfId="0" applyFont="1" applyBorder="1" applyAlignment="1">
      <alignment horizontal="right" indent="1"/>
    </xf>
    <xf numFmtId="49" fontId="14" fillId="0" borderId="80" xfId="0" applyNumberFormat="1" applyFont="1" applyBorder="1" applyAlignment="1">
      <alignment horizontal="right" indent="1"/>
    </xf>
    <xf numFmtId="0" fontId="14" fillId="0" borderId="80" xfId="0" applyFont="1" applyBorder="1"/>
    <xf numFmtId="0" fontId="14" fillId="0" borderId="82" xfId="0" applyFont="1" applyBorder="1"/>
    <xf numFmtId="165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1" fontId="14" fillId="0" borderId="0" xfId="0" applyNumberFormat="1" applyFont="1" applyBorder="1" applyAlignment="1">
      <alignment horizontal="right" indent="1"/>
    </xf>
    <xf numFmtId="0" fontId="14" fillId="0" borderId="0" xfId="0" applyFont="1" applyBorder="1"/>
    <xf numFmtId="0" fontId="14" fillId="0" borderId="0" xfId="0" applyNumberFormat="1" applyFont="1" applyBorder="1" applyAlignment="1">
      <alignment horizontal="right" indent="1"/>
    </xf>
    <xf numFmtId="1" fontId="17" fillId="0" borderId="0" xfId="0" applyNumberFormat="1" applyFont="1" applyBorder="1" applyAlignment="1">
      <alignment horizontal="right" indent="1"/>
    </xf>
    <xf numFmtId="0" fontId="0" fillId="0" borderId="77" xfId="0" applyBorder="1" applyAlignment="1">
      <alignment horizontal="right" vertical="center" indent="1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right" vertical="center" indent="1"/>
    </xf>
    <xf numFmtId="165" fontId="0" fillId="0" borderId="83" xfId="0" applyNumberFormat="1" applyBorder="1" applyAlignment="1">
      <alignment horizontal="right" vertical="center" indent="1"/>
    </xf>
    <xf numFmtId="1" fontId="14" fillId="0" borderId="87" xfId="0" applyNumberFormat="1" applyFont="1" applyFill="1" applyBorder="1" applyAlignment="1">
      <alignment horizontal="center" vertical="center"/>
    </xf>
    <xf numFmtId="1" fontId="14" fillId="0" borderId="84" xfId="0" applyNumberFormat="1" applyFont="1" applyFill="1" applyBorder="1" applyAlignment="1">
      <alignment horizontal="right" vertical="center" indent="1"/>
    </xf>
    <xf numFmtId="1" fontId="14" fillId="0" borderId="90" xfId="0" applyNumberFormat="1" applyFont="1" applyBorder="1" applyAlignment="1">
      <alignment horizontal="right" indent="1"/>
    </xf>
    <xf numFmtId="1" fontId="14" fillId="0" borderId="91" xfId="0" applyNumberFormat="1" applyFont="1" applyBorder="1" applyAlignment="1">
      <alignment horizontal="right" indent="1"/>
    </xf>
    <xf numFmtId="1" fontId="14" fillId="0" borderId="92" xfId="0" applyNumberFormat="1" applyFont="1" applyBorder="1" applyAlignment="1">
      <alignment horizontal="right" indent="1"/>
    </xf>
    <xf numFmtId="0" fontId="0" fillId="0" borderId="83" xfId="0" applyBorder="1" applyAlignment="1">
      <alignment horizontal="right" vertical="center" indent="1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right" vertical="center" indent="1"/>
    </xf>
    <xf numFmtId="165" fontId="0" fillId="0" borderId="93" xfId="0" applyNumberFormat="1" applyBorder="1" applyAlignment="1">
      <alignment horizontal="right" vertical="center" indent="1"/>
    </xf>
    <xf numFmtId="1" fontId="14" fillId="0" borderId="94" xfId="0" applyNumberFormat="1" applyFont="1" applyFill="1" applyBorder="1" applyAlignment="1">
      <alignment horizontal="center" vertical="center"/>
    </xf>
    <xf numFmtId="1" fontId="14" fillId="0" borderId="95" xfId="0" applyNumberFormat="1" applyFont="1" applyFill="1" applyBorder="1" applyAlignment="1">
      <alignment horizontal="right" vertical="center" indent="1"/>
    </xf>
    <xf numFmtId="0" fontId="19" fillId="0" borderId="84" xfId="0" applyFont="1" applyBorder="1"/>
    <xf numFmtId="168" fontId="14" fillId="0" borderId="83" xfId="0" applyNumberFormat="1" applyFont="1" applyBorder="1" applyAlignment="1">
      <alignment horizontal="right" vertical="center" indent="1"/>
    </xf>
    <xf numFmtId="2" fontId="14" fillId="0" borderId="84" xfId="0" applyNumberFormat="1" applyFont="1" applyBorder="1" applyAlignment="1">
      <alignment horizontal="right" indent="1"/>
    </xf>
    <xf numFmtId="0" fontId="19" fillId="0" borderId="80" xfId="0" applyFont="1" applyBorder="1"/>
    <xf numFmtId="0" fontId="19" fillId="0" borderId="82" xfId="0" applyFont="1" applyBorder="1"/>
    <xf numFmtId="0" fontId="20" fillId="0" borderId="83" xfId="0" applyFont="1" applyBorder="1"/>
    <xf numFmtId="0" fontId="20" fillId="0" borderId="84" xfId="0" applyFont="1" applyBorder="1"/>
    <xf numFmtId="170" fontId="14" fillId="0" borderId="81" xfId="0" applyNumberFormat="1" applyFont="1" applyBorder="1" applyAlignment="1">
      <alignment horizontal="right" vertical="center" inden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63" xfId="0" applyFont="1" applyBorder="1" applyAlignment="1"/>
    <xf numFmtId="0" fontId="0" fillId="0" borderId="62" xfId="0" applyFont="1" applyBorder="1" applyAlignment="1"/>
    <xf numFmtId="170" fontId="14" fillId="0" borderId="85" xfId="0" applyNumberFormat="1" applyFont="1" applyBorder="1" applyAlignment="1">
      <alignment horizontal="right" vertical="center" indent="1"/>
    </xf>
    <xf numFmtId="0" fontId="0" fillId="0" borderId="1" xfId="0" applyFont="1" applyBorder="1" applyAlignment="1">
      <alignment horizontal="center" vertical="center"/>
    </xf>
    <xf numFmtId="0" fontId="0" fillId="0" borderId="64" xfId="0" applyFont="1" applyBorder="1" applyAlignment="1"/>
    <xf numFmtId="0" fontId="0" fillId="0" borderId="56" xfId="0" applyFont="1" applyBorder="1" applyAlignment="1"/>
    <xf numFmtId="0" fontId="0" fillId="0" borderId="69" xfId="0" applyFont="1" applyBorder="1" applyAlignment="1">
      <alignment horizontal="center" vertical="center"/>
    </xf>
    <xf numFmtId="2" fontId="14" fillId="0" borderId="70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7" xfId="0" applyFont="1" applyBorder="1" applyAlignment="1"/>
    <xf numFmtId="0" fontId="0" fillId="0" borderId="6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topLeftCell="D1" zoomScale="85" zoomScaleNormal="85" workbookViewId="0">
      <selection activeCell="Q5" sqref="Q5"/>
    </sheetView>
  </sheetViews>
  <sheetFormatPr defaultRowHeight="15" x14ac:dyDescent="0.25"/>
  <cols>
    <col min="1" max="1" width="22.7109375" customWidth="1"/>
    <col min="2" max="2" width="30.7109375" customWidth="1"/>
    <col min="3" max="3" width="21.7109375" customWidth="1"/>
    <col min="4" max="4" width="11.7109375" customWidth="1"/>
    <col min="5" max="5" width="1.7109375" customWidth="1"/>
    <col min="6" max="6" width="7.7109375" customWidth="1"/>
    <col min="7" max="7" width="8.7109375" customWidth="1"/>
    <col min="8" max="9" width="9.7109375" customWidth="1"/>
    <col min="10" max="11" width="10.7109375" customWidth="1"/>
    <col min="12" max="12" width="1.7109375" customWidth="1"/>
    <col min="13" max="13" width="22.7109375" customWidth="1"/>
    <col min="14" max="14" width="30.7109375" customWidth="1"/>
    <col min="15" max="15" width="21.7109375" customWidth="1"/>
    <col min="16" max="16" width="5.7109375" customWidth="1"/>
    <col min="17" max="20" width="9.7109375" customWidth="1"/>
    <col min="21" max="24" width="13.7109375" customWidth="1"/>
  </cols>
  <sheetData>
    <row r="1" spans="1:24" ht="19.899999999999999" customHeight="1" x14ac:dyDescent="0.25">
      <c r="A1" s="132" t="s">
        <v>57</v>
      </c>
      <c r="B1" s="133"/>
      <c r="C1" s="133"/>
      <c r="D1" s="133"/>
      <c r="E1" s="65"/>
      <c r="I1" s="29"/>
      <c r="J1" s="29"/>
      <c r="K1" s="29"/>
      <c r="L1" s="29"/>
      <c r="M1" s="132" t="str">
        <f>A1</f>
        <v>ESCO MONTAGNA S.R.L.</v>
      </c>
      <c r="N1" s="133"/>
      <c r="O1" s="133"/>
      <c r="P1" s="133"/>
    </row>
    <row r="2" spans="1:24" ht="19.899999999999999" customHeight="1" x14ac:dyDescent="0.25">
      <c r="A2" s="132" t="s">
        <v>58</v>
      </c>
      <c r="B2" s="133"/>
      <c r="C2" s="133"/>
      <c r="D2" s="133"/>
      <c r="E2" s="65"/>
      <c r="F2" s="3"/>
      <c r="G2" s="3"/>
      <c r="H2" s="3"/>
      <c r="I2" s="29"/>
      <c r="J2" s="29"/>
      <c r="K2" s="29"/>
      <c r="L2" s="29"/>
      <c r="M2" s="132" t="str">
        <f>A2</f>
        <v>via Nazionale 11, Arta Terme (UD)</v>
      </c>
      <c r="N2" s="133"/>
      <c r="O2" s="133"/>
      <c r="P2" s="133"/>
    </row>
    <row r="3" spans="1:24" ht="19.899999999999999" customHeight="1" x14ac:dyDescent="0.25">
      <c r="A3" s="132" t="s">
        <v>59</v>
      </c>
      <c r="B3" s="133"/>
      <c r="C3" s="133"/>
      <c r="D3" s="133"/>
      <c r="E3" s="65"/>
      <c r="F3" s="3"/>
      <c r="G3" s="3"/>
      <c r="H3" s="3"/>
      <c r="I3" s="29"/>
      <c r="J3" s="29"/>
      <c r="K3" s="29"/>
      <c r="L3" s="29"/>
      <c r="M3" s="132" t="str">
        <f>A3</f>
        <v>tel. 0433 929975 - fax. 0433 929981 - P.I. 02522090303</v>
      </c>
      <c r="N3" s="133"/>
      <c r="O3" s="133"/>
      <c r="P3" s="133"/>
    </row>
    <row r="4" spans="1:24" ht="19.899999999999999" customHeight="1" thickBot="1" x14ac:dyDescent="0.3">
      <c r="A4" s="64"/>
      <c r="B4" s="6"/>
      <c r="C4" s="6"/>
      <c r="D4" s="6"/>
      <c r="E4" s="6"/>
      <c r="F4" s="3"/>
      <c r="G4" s="3"/>
      <c r="H4" s="3"/>
      <c r="I4" s="3"/>
      <c r="J4" s="3"/>
      <c r="K4" s="3"/>
      <c r="L4" s="4"/>
      <c r="M4" s="5"/>
    </row>
    <row r="5" spans="1:24" ht="35.1" customHeight="1" x14ac:dyDescent="0.25">
      <c r="A5" s="134" t="s">
        <v>0</v>
      </c>
      <c r="B5" s="135"/>
      <c r="C5" s="7" t="s">
        <v>1</v>
      </c>
      <c r="D5" s="7" t="s">
        <v>2</v>
      </c>
      <c r="E5" s="8"/>
      <c r="F5" s="7" t="s">
        <v>3</v>
      </c>
      <c r="G5" s="7" t="s">
        <v>8</v>
      </c>
      <c r="H5" s="7" t="s">
        <v>4</v>
      </c>
      <c r="I5" s="7" t="s">
        <v>11</v>
      </c>
      <c r="J5" s="7" t="s">
        <v>10</v>
      </c>
      <c r="K5" s="7" t="s">
        <v>5</v>
      </c>
      <c r="M5" s="136" t="s">
        <v>0</v>
      </c>
      <c r="N5" s="137"/>
      <c r="O5" s="123" t="s">
        <v>1</v>
      </c>
      <c r="P5" s="122" t="s">
        <v>15</v>
      </c>
      <c r="Q5" s="119" t="s">
        <v>81</v>
      </c>
      <c r="R5" s="120" t="s">
        <v>80</v>
      </c>
      <c r="S5" s="119" t="s">
        <v>88</v>
      </c>
      <c r="T5" s="120" t="s">
        <v>89</v>
      </c>
      <c r="U5" s="119" t="s">
        <v>78</v>
      </c>
      <c r="V5" s="120" t="s">
        <v>79</v>
      </c>
      <c r="W5" s="119" t="s">
        <v>90</v>
      </c>
      <c r="X5" s="121" t="s">
        <v>91</v>
      </c>
    </row>
    <row r="6" spans="1:24" s="1" customFormat="1" ht="19.899999999999999" customHeight="1" x14ac:dyDescent="0.2">
      <c r="A6" s="27" t="s">
        <v>17</v>
      </c>
      <c r="B6" s="28" t="s">
        <v>30</v>
      </c>
      <c r="C6" s="28" t="s">
        <v>53</v>
      </c>
      <c r="D6" s="80">
        <f t="shared" ref="D6:D25" si="0">(((H6)*IF(F6=15%,1.18,IF(F6=20%,1.25,IF(F6=23%,1.3,IF(F6=25%,1.35,IF(F6=28%,1.4,IF(F6=30%,1.43,IF(F6=35%,1.54,IF(F6=40%,1.67,IF(F6=45%,1.82,IF(F6=50%,2)))))))))))+(H6*G6))</f>
        <v>4.2042000000000002</v>
      </c>
      <c r="E6" s="9"/>
      <c r="F6" s="10">
        <v>0.35</v>
      </c>
      <c r="G6" s="49"/>
      <c r="H6" s="11">
        <f t="shared" ref="H6:H25" si="1">K6+(K6*I6)+J6</f>
        <v>2.73</v>
      </c>
      <c r="I6" s="12"/>
      <c r="J6" s="11"/>
      <c r="K6" s="13">
        <v>2.73</v>
      </c>
      <c r="M6" s="27" t="str">
        <f t="shared" ref="M6:O25" si="2">A6</f>
        <v>RETTANGOLI</v>
      </c>
      <c r="N6" s="28" t="str">
        <f t="shared" si="2"/>
        <v xml:space="preserve">RGV 60 ALU </v>
      </c>
      <c r="O6" s="71" t="str">
        <f t="shared" si="2"/>
        <v>220x220x60/50</v>
      </c>
      <c r="P6" s="74" t="s">
        <v>25</v>
      </c>
      <c r="Q6" s="96">
        <f>350+10+15</f>
        <v>375</v>
      </c>
      <c r="R6" s="118"/>
      <c r="S6" s="96"/>
      <c r="T6" s="118"/>
      <c r="U6" s="99">
        <f>Q6*D6</f>
        <v>1576.575</v>
      </c>
      <c r="V6" s="94">
        <f>R6*D6</f>
        <v>0</v>
      </c>
      <c r="W6" s="102">
        <f>S6*D6</f>
        <v>0</v>
      </c>
      <c r="X6" s="115">
        <f>T6*D6</f>
        <v>0</v>
      </c>
    </row>
    <row r="7" spans="1:24" s="1" customFormat="1" ht="19.899999999999999" customHeight="1" x14ac:dyDescent="0.2">
      <c r="A7" s="52" t="s">
        <v>17</v>
      </c>
      <c r="B7" s="53" t="s">
        <v>30</v>
      </c>
      <c r="C7" s="53" t="s">
        <v>52</v>
      </c>
      <c r="D7" s="81">
        <f t="shared" si="0"/>
        <v>4.2042000000000002</v>
      </c>
      <c r="E7" s="9"/>
      <c r="F7" s="59">
        <v>0.35</v>
      </c>
      <c r="G7" s="60"/>
      <c r="H7" s="61">
        <f t="shared" si="1"/>
        <v>2.73</v>
      </c>
      <c r="I7" s="62"/>
      <c r="J7" s="61"/>
      <c r="K7" s="63">
        <v>2.73</v>
      </c>
      <c r="M7" s="52" t="str">
        <f t="shared" si="2"/>
        <v>RETTANGOLI</v>
      </c>
      <c r="N7" s="53" t="str">
        <f t="shared" si="2"/>
        <v xml:space="preserve">RGV 60 ALU </v>
      </c>
      <c r="O7" s="72" t="str">
        <f t="shared" si="2"/>
        <v>220x220x60/55</v>
      </c>
      <c r="P7" s="75" t="s">
        <v>25</v>
      </c>
      <c r="Q7" s="97">
        <f>150+15</f>
        <v>165</v>
      </c>
      <c r="R7" s="111"/>
      <c r="S7" s="97"/>
      <c r="T7" s="111"/>
      <c r="U7" s="99">
        <f>Q7*D7</f>
        <v>693.69299999999998</v>
      </c>
      <c r="V7" s="94">
        <f t="shared" ref="V7" si="3">R7*D7</f>
        <v>0</v>
      </c>
      <c r="W7" s="103">
        <f t="shared" ref="W7:W25" si="4">S7*D7</f>
        <v>0</v>
      </c>
      <c r="X7" s="116">
        <f>T7*D7</f>
        <v>0</v>
      </c>
    </row>
    <row r="8" spans="1:24" s="1" customFormat="1" ht="19.899999999999999" customHeight="1" x14ac:dyDescent="0.2">
      <c r="A8" s="52" t="s">
        <v>17</v>
      </c>
      <c r="B8" s="53" t="s">
        <v>33</v>
      </c>
      <c r="C8" s="53" t="s">
        <v>32</v>
      </c>
      <c r="D8" s="81">
        <f t="shared" ref="D8" si="5">(((H8)*IF(F8=15%,1.18,IF(F8=20%,1.25,IF(F8=23%,1.3,IF(F8=25%,1.35,IF(F8=28%,1.4,IF(F8=30%,1.43,IF(F8=35%,1.54,IF(F8=40%,1.67,IF(F8=45%,1.82,IF(F8=50%,2)))))))))))+(H8*G8))</f>
        <v>10.703000000000001</v>
      </c>
      <c r="E8" s="9"/>
      <c r="F8" s="59">
        <v>0.35</v>
      </c>
      <c r="G8" s="60"/>
      <c r="H8" s="61">
        <f t="shared" ref="H8" si="6">K8+(K8*I8)+J8</f>
        <v>6.95</v>
      </c>
      <c r="I8" s="62"/>
      <c r="J8" s="61"/>
      <c r="K8" s="63">
        <v>6.95</v>
      </c>
      <c r="M8" s="52" t="str">
        <f t="shared" ref="M8" si="7">A8</f>
        <v>RETTANGOLI</v>
      </c>
      <c r="N8" s="53" t="str">
        <f t="shared" ref="N8" si="8">B8</f>
        <v>RGV AT 60A DC 2GG6</v>
      </c>
      <c r="O8" s="72" t="str">
        <f t="shared" ref="O8" si="9">C8</f>
        <v>250x250x68/62</v>
      </c>
      <c r="P8" s="75" t="s">
        <v>25</v>
      </c>
      <c r="Q8" s="97"/>
      <c r="R8" s="111"/>
      <c r="S8" s="97"/>
      <c r="T8" s="111"/>
      <c r="U8" s="99">
        <f t="shared" ref="U8:U24" si="10">Q8*D8</f>
        <v>0</v>
      </c>
      <c r="V8" s="94">
        <f t="shared" ref="V8" si="11">R8*D8</f>
        <v>0</v>
      </c>
      <c r="W8" s="103">
        <f t="shared" si="4"/>
        <v>0</v>
      </c>
      <c r="X8" s="116">
        <f t="shared" ref="X8:X25" si="12">T8*D8</f>
        <v>0</v>
      </c>
    </row>
    <row r="9" spans="1:24" s="1" customFormat="1" ht="19.899999999999999" customHeight="1" x14ac:dyDescent="0.2">
      <c r="A9" s="52" t="s">
        <v>17</v>
      </c>
      <c r="B9" s="53" t="s">
        <v>34</v>
      </c>
      <c r="C9" s="53" t="s">
        <v>35</v>
      </c>
      <c r="D9" s="81">
        <f t="shared" ref="D9" si="13">(((H9)*IF(F9=15%,1.18,IF(F9=20%,1.25,IF(F9=23%,1.3,IF(F9=25%,1.35,IF(F9=28%,1.4,IF(F9=30%,1.43,IF(F9=35%,1.54,IF(F9=40%,1.67,IF(F9=45%,1.82,IF(F9=50%,2)))))))))))+(H9*G9))</f>
        <v>10.703000000000001</v>
      </c>
      <c r="E9" s="9"/>
      <c r="F9" s="59">
        <v>0.35</v>
      </c>
      <c r="G9" s="60"/>
      <c r="H9" s="61">
        <f t="shared" ref="H9" si="14">K9+(K9*I9)+J9</f>
        <v>6.95</v>
      </c>
      <c r="I9" s="62"/>
      <c r="J9" s="61"/>
      <c r="K9" s="63">
        <v>6.95</v>
      </c>
      <c r="M9" s="52" t="str">
        <f t="shared" ref="M9" si="15">A9</f>
        <v>RETTANGOLI</v>
      </c>
      <c r="N9" s="53" t="str">
        <f t="shared" ref="N9" si="16">B9</f>
        <v>RGV AT 60A DC 2GG10</v>
      </c>
      <c r="O9" s="72" t="str">
        <f t="shared" ref="O9" si="17">C9</f>
        <v>250x250x69/59</v>
      </c>
      <c r="P9" s="75" t="s">
        <v>25</v>
      </c>
      <c r="Q9" s="97"/>
      <c r="R9" s="111"/>
      <c r="S9" s="97"/>
      <c r="T9" s="111"/>
      <c r="U9" s="99">
        <f t="shared" si="10"/>
        <v>0</v>
      </c>
      <c r="V9" s="94">
        <f t="shared" ref="V9" si="18">R9*D9</f>
        <v>0</v>
      </c>
      <c r="W9" s="103">
        <f t="shared" si="4"/>
        <v>0</v>
      </c>
      <c r="X9" s="116">
        <f t="shared" si="12"/>
        <v>0</v>
      </c>
    </row>
    <row r="10" spans="1:24" s="1" customFormat="1" ht="19.899999999999999" customHeight="1" x14ac:dyDescent="0.2">
      <c r="A10" s="52" t="s">
        <v>17</v>
      </c>
      <c r="B10" s="53" t="s">
        <v>36</v>
      </c>
      <c r="C10" s="53" t="s">
        <v>37</v>
      </c>
      <c r="D10" s="81">
        <f t="shared" si="0"/>
        <v>8.0005749999999995</v>
      </c>
      <c r="E10" s="9"/>
      <c r="F10" s="59">
        <v>0.35</v>
      </c>
      <c r="G10" s="60">
        <v>7.4999999999999997E-3</v>
      </c>
      <c r="H10" s="61">
        <f t="shared" si="1"/>
        <v>5.17</v>
      </c>
      <c r="I10" s="62"/>
      <c r="J10" s="61"/>
      <c r="K10" s="63">
        <v>5.17</v>
      </c>
      <c r="M10" s="52" t="str">
        <f t="shared" si="2"/>
        <v>RETTANGOLI</v>
      </c>
      <c r="N10" s="53" t="str">
        <f t="shared" si="2"/>
        <v>RGV AT 60A 2B RT</v>
      </c>
      <c r="O10" s="72" t="str">
        <f t="shared" si="2"/>
        <v>250x187x64</v>
      </c>
      <c r="P10" s="75" t="s">
        <v>25</v>
      </c>
      <c r="Q10" s="97"/>
      <c r="R10" s="111">
        <v>284</v>
      </c>
      <c r="S10" s="97"/>
      <c r="T10" s="111">
        <v>93</v>
      </c>
      <c r="U10" s="99">
        <f t="shared" si="10"/>
        <v>0</v>
      </c>
      <c r="V10" s="94">
        <f t="shared" ref="V10:V25" si="19">R10*D10</f>
        <v>2272.1632999999997</v>
      </c>
      <c r="W10" s="103">
        <f t="shared" si="4"/>
        <v>0</v>
      </c>
      <c r="X10" s="116">
        <f t="shared" si="12"/>
        <v>744.05347499999993</v>
      </c>
    </row>
    <row r="11" spans="1:24" s="1" customFormat="1" ht="19.899999999999999" customHeight="1" x14ac:dyDescent="0.2">
      <c r="A11" s="52" t="s">
        <v>17</v>
      </c>
      <c r="B11" s="53" t="s">
        <v>82</v>
      </c>
      <c r="C11" s="53" t="s">
        <v>38</v>
      </c>
      <c r="D11" s="81">
        <f t="shared" ref="D11" si="20">(((H11)*IF(F11=15%,1.18,IF(F11=20%,1.25,IF(F11=23%,1.3,IF(F11=25%,1.35,IF(F11=28%,1.4,IF(F11=30%,1.43,IF(F11=35%,1.54,IF(F11=40%,1.67,IF(F11=45%,1.82,IF(F11=50%,2)))))))))))+(H11*G11))</f>
        <v>1.5006600000000001</v>
      </c>
      <c r="E11" s="9"/>
      <c r="F11" s="59">
        <v>0.35</v>
      </c>
      <c r="G11" s="60">
        <v>4.8000000000000001E-2</v>
      </c>
      <c r="H11" s="61">
        <f t="shared" ref="H11" si="21">K11+(K11*I11)+J11</f>
        <v>0.94499999999999995</v>
      </c>
      <c r="I11" s="62"/>
      <c r="J11" s="61"/>
      <c r="K11" s="63">
        <v>0.94499999999999995</v>
      </c>
      <c r="M11" s="52" t="str">
        <f t="shared" ref="M11" si="22">A11</f>
        <v>RETTANGOLI</v>
      </c>
      <c r="N11" s="53" t="str">
        <f t="shared" ref="N11" si="23">B11</f>
        <v>UAB 23 RT</v>
      </c>
      <c r="O11" s="72" t="str">
        <f t="shared" ref="O11" si="24">C11</f>
        <v>230x114x64</v>
      </c>
      <c r="P11" s="75" t="s">
        <v>25</v>
      </c>
      <c r="Q11" s="97">
        <v>360</v>
      </c>
      <c r="R11" s="111"/>
      <c r="S11" s="97"/>
      <c r="T11" s="111"/>
      <c r="U11" s="99">
        <f t="shared" si="10"/>
        <v>540.23760000000004</v>
      </c>
      <c r="V11" s="94">
        <f t="shared" ref="V11" si="25">R11*D11</f>
        <v>0</v>
      </c>
      <c r="W11" s="103">
        <f t="shared" si="4"/>
        <v>0</v>
      </c>
      <c r="X11" s="116">
        <f t="shared" si="12"/>
        <v>0</v>
      </c>
    </row>
    <row r="12" spans="1:24" s="1" customFormat="1" ht="19.899999999999999" customHeight="1" x14ac:dyDescent="0.2">
      <c r="A12" s="52" t="s">
        <v>17</v>
      </c>
      <c r="B12" s="53" t="s">
        <v>83</v>
      </c>
      <c r="C12" s="53" t="s">
        <v>66</v>
      </c>
      <c r="D12" s="81">
        <f t="shared" ref="D12" si="26">(((H12)*IF(F12=15%,1.18,IF(F12=20%,1.25,IF(F12=23%,1.3,IF(F12=25%,1.35,IF(F12=28%,1.4,IF(F12=30%,1.43,IF(F12=35%,1.54,IF(F12=40%,1.67,IF(F12=45%,1.82,IF(F12=50%,2)))))))))))+(H12*G12))</f>
        <v>1.6506000000000003</v>
      </c>
      <c r="E12" s="9"/>
      <c r="F12" s="59">
        <v>0.35</v>
      </c>
      <c r="G12" s="60">
        <v>3.2000000000000001E-2</v>
      </c>
      <c r="H12" s="61">
        <f t="shared" ref="H12" si="27">K12+(K12*I12)+J12</f>
        <v>1.05</v>
      </c>
      <c r="I12" s="62"/>
      <c r="J12" s="61"/>
      <c r="K12" s="63">
        <v>1.05</v>
      </c>
      <c r="M12" s="52" t="str">
        <f t="shared" ref="M12" si="28">A12</f>
        <v>RETTANGOLI</v>
      </c>
      <c r="N12" s="53" t="str">
        <f t="shared" ref="N12" si="29">B12</f>
        <v>JM 23 ECO RT</v>
      </c>
      <c r="O12" s="72" t="str">
        <f t="shared" ref="O12" si="30">C12</f>
        <v>220x110x60</v>
      </c>
      <c r="P12" s="75" t="s">
        <v>25</v>
      </c>
      <c r="Q12" s="97"/>
      <c r="R12" s="111">
        <f>300+100</f>
        <v>400</v>
      </c>
      <c r="S12" s="97"/>
      <c r="T12" s="111">
        <v>50</v>
      </c>
      <c r="U12" s="99">
        <f t="shared" si="10"/>
        <v>0</v>
      </c>
      <c r="V12" s="94">
        <f t="shared" ref="V12" si="31">R12*D12</f>
        <v>660.24000000000012</v>
      </c>
      <c r="W12" s="103">
        <f t="shared" si="4"/>
        <v>0</v>
      </c>
      <c r="X12" s="116">
        <f t="shared" si="12"/>
        <v>82.530000000000015</v>
      </c>
    </row>
    <row r="13" spans="1:24" s="1" customFormat="1" ht="19.899999999999999" customHeight="1" x14ac:dyDescent="0.2">
      <c r="A13" s="52" t="s">
        <v>18</v>
      </c>
      <c r="B13" s="53" t="s">
        <v>24</v>
      </c>
      <c r="C13" s="53" t="s">
        <v>22</v>
      </c>
      <c r="D13" s="81">
        <f t="shared" si="0"/>
        <v>0.80080000000000007</v>
      </c>
      <c r="E13" s="9"/>
      <c r="F13" s="59">
        <v>0.35</v>
      </c>
      <c r="G13" s="60"/>
      <c r="H13" s="61">
        <f t="shared" si="1"/>
        <v>0.52</v>
      </c>
      <c r="I13" s="62"/>
      <c r="J13" s="61"/>
      <c r="K13" s="63">
        <v>0.52</v>
      </c>
      <c r="M13" s="52" t="str">
        <f t="shared" si="2"/>
        <v>CEMENTO PLASTICO</v>
      </c>
      <c r="N13" s="53" t="str">
        <f t="shared" si="2"/>
        <v>TUNDISH 4</v>
      </c>
      <c r="O13" s="72" t="str">
        <f t="shared" si="2"/>
        <v>fustini da 20 kg</v>
      </c>
      <c r="P13" s="75" t="s">
        <v>16</v>
      </c>
      <c r="Q13" s="97">
        <v>100</v>
      </c>
      <c r="R13" s="111">
        <f>140+80</f>
        <v>220</v>
      </c>
      <c r="S13" s="97">
        <v>40</v>
      </c>
      <c r="T13" s="111">
        <v>80</v>
      </c>
      <c r="U13" s="99">
        <f t="shared" si="10"/>
        <v>80.080000000000013</v>
      </c>
      <c r="V13" s="94">
        <f t="shared" si="19"/>
        <v>176.17600000000002</v>
      </c>
      <c r="W13" s="103">
        <f t="shared" si="4"/>
        <v>32.032000000000004</v>
      </c>
      <c r="X13" s="116">
        <f t="shared" si="12"/>
        <v>64.064000000000007</v>
      </c>
    </row>
    <row r="14" spans="1:24" s="1" customFormat="1" ht="19.899999999999999" customHeight="1" x14ac:dyDescent="0.2">
      <c r="A14" s="52" t="s">
        <v>39</v>
      </c>
      <c r="B14" s="53" t="s">
        <v>40</v>
      </c>
      <c r="C14" s="53" t="s">
        <v>41</v>
      </c>
      <c r="D14" s="81">
        <f t="shared" ref="D14" si="32">(((H14)*IF(F14=15%,1.18,IF(F14=20%,1.25,IF(F14=23%,1.3,IF(F14=25%,1.35,IF(F14=28%,1.4,IF(F14=30%,1.43,IF(F14=35%,1.54,IF(F14=40%,1.67,IF(F14=45%,1.82,IF(F14=50%,2)))))))))))+(H14*G14))</f>
        <v>8.1502079999999992</v>
      </c>
      <c r="E14" s="9"/>
      <c r="F14" s="59">
        <v>0.35</v>
      </c>
      <c r="G14" s="60">
        <v>3.5999999999999999E-3</v>
      </c>
      <c r="H14" s="61">
        <f t="shared" ref="H14" si="33">K14+(K14*I14)+J14</f>
        <v>5.28</v>
      </c>
      <c r="I14" s="62"/>
      <c r="J14" s="61"/>
      <c r="K14" s="63">
        <v>5.28</v>
      </c>
      <c r="M14" s="52" t="str">
        <f t="shared" ref="M14" si="34">A14</f>
        <v>LASTRA</v>
      </c>
      <c r="N14" s="53" t="str">
        <f t="shared" ref="N14" si="35">B14</f>
        <v>RGV SIL 1000</v>
      </c>
      <c r="O14" s="72" t="str">
        <f t="shared" ref="O14" si="36">C14</f>
        <v>1000x500x30</v>
      </c>
      <c r="P14" s="75" t="s">
        <v>25</v>
      </c>
      <c r="Q14" s="97"/>
      <c r="R14" s="111"/>
      <c r="S14" s="97"/>
      <c r="T14" s="111"/>
      <c r="U14" s="99">
        <f t="shared" si="10"/>
        <v>0</v>
      </c>
      <c r="V14" s="94">
        <f t="shared" ref="V14" si="37">R14*D14</f>
        <v>0</v>
      </c>
      <c r="W14" s="103">
        <f t="shared" si="4"/>
        <v>0</v>
      </c>
      <c r="X14" s="116">
        <f t="shared" si="12"/>
        <v>0</v>
      </c>
    </row>
    <row r="15" spans="1:24" s="1" customFormat="1" ht="19.899999999999999" customHeight="1" x14ac:dyDescent="0.2">
      <c r="A15" s="52" t="s">
        <v>39</v>
      </c>
      <c r="B15" s="53" t="s">
        <v>40</v>
      </c>
      <c r="C15" s="53" t="s">
        <v>42</v>
      </c>
      <c r="D15" s="81">
        <f t="shared" ref="D15" si="38">(((H15)*IF(F15=15%,1.18,IF(F15=20%,1.25,IF(F15=23%,1.3,IF(F15=25%,1.35,IF(F15=28%,1.4,IF(F15=30%,1.43,IF(F15=35%,1.54,IF(F15=40%,1.67,IF(F15=45%,1.82,IF(F15=50%,2)))))))))))+(H15*G15))</f>
        <v>13.500912</v>
      </c>
      <c r="E15" s="9"/>
      <c r="F15" s="59">
        <v>0.35</v>
      </c>
      <c r="G15" s="60">
        <v>1.1999999999999999E-3</v>
      </c>
      <c r="H15" s="61">
        <f t="shared" ref="H15" si="39">K15+(K15*I15)+J15</f>
        <v>8.76</v>
      </c>
      <c r="I15" s="62"/>
      <c r="J15" s="61"/>
      <c r="K15" s="63">
        <v>8.76</v>
      </c>
      <c r="M15" s="52" t="str">
        <f t="shared" ref="M15" si="40">A15</f>
        <v>LASTRA</v>
      </c>
      <c r="N15" s="53" t="str">
        <f t="shared" ref="N15" si="41">B15</f>
        <v>RGV SIL 1000</v>
      </c>
      <c r="O15" s="72" t="str">
        <f t="shared" ref="O15" si="42">C15</f>
        <v>1000x500x50</v>
      </c>
      <c r="P15" s="75" t="s">
        <v>25</v>
      </c>
      <c r="Q15" s="97"/>
      <c r="R15" s="111">
        <v>22</v>
      </c>
      <c r="S15" s="97"/>
      <c r="T15" s="111">
        <v>10</v>
      </c>
      <c r="U15" s="99">
        <f t="shared" si="10"/>
        <v>0</v>
      </c>
      <c r="V15" s="94">
        <f t="shared" ref="V15" si="43">R15*D15</f>
        <v>297.02006399999999</v>
      </c>
      <c r="W15" s="103">
        <f t="shared" si="4"/>
        <v>0</v>
      </c>
      <c r="X15" s="116">
        <f t="shared" si="12"/>
        <v>135.00912</v>
      </c>
    </row>
    <row r="16" spans="1:24" s="1" customFormat="1" ht="19.899999999999999" customHeight="1" x14ac:dyDescent="0.2">
      <c r="A16" s="52" t="s">
        <v>19</v>
      </c>
      <c r="B16" s="53" t="s">
        <v>43</v>
      </c>
      <c r="C16" s="53" t="s">
        <v>23</v>
      </c>
      <c r="D16" s="81">
        <f t="shared" si="0"/>
        <v>62.700083999999997</v>
      </c>
      <c r="E16" s="9"/>
      <c r="F16" s="59">
        <v>0.35</v>
      </c>
      <c r="G16" s="60">
        <v>1.2999999999999999E-3</v>
      </c>
      <c r="H16" s="61">
        <f t="shared" si="1"/>
        <v>40.68</v>
      </c>
      <c r="I16" s="62"/>
      <c r="J16" s="61"/>
      <c r="K16" s="63">
        <v>40.68</v>
      </c>
      <c r="M16" s="52" t="str">
        <f t="shared" si="2"/>
        <v>MATERASSINO</v>
      </c>
      <c r="N16" s="53" t="str">
        <f t="shared" si="2"/>
        <v>SW 607 HT 128 BLANKET</v>
      </c>
      <c r="O16" s="72" t="str">
        <f t="shared" si="2"/>
        <v>7320x610x25</v>
      </c>
      <c r="P16" s="75" t="s">
        <v>25</v>
      </c>
      <c r="Q16" s="97">
        <v>1</v>
      </c>
      <c r="R16" s="111">
        <v>4</v>
      </c>
      <c r="S16" s="97"/>
      <c r="T16" s="111"/>
      <c r="U16" s="99">
        <f t="shared" si="10"/>
        <v>62.700083999999997</v>
      </c>
      <c r="V16" s="94">
        <f t="shared" si="19"/>
        <v>250.80033599999999</v>
      </c>
      <c r="W16" s="103">
        <f t="shared" si="4"/>
        <v>0</v>
      </c>
      <c r="X16" s="116">
        <f t="shared" si="12"/>
        <v>0</v>
      </c>
    </row>
    <row r="17" spans="1:24" s="1" customFormat="1" ht="19.899999999999999" customHeight="1" x14ac:dyDescent="0.2">
      <c r="A17" s="52" t="s">
        <v>19</v>
      </c>
      <c r="B17" s="53" t="s">
        <v>43</v>
      </c>
      <c r="C17" s="53" t="s">
        <v>26</v>
      </c>
      <c r="D17" s="81">
        <f t="shared" si="0"/>
        <v>66.700431000000009</v>
      </c>
      <c r="E17" s="9"/>
      <c r="F17" s="59">
        <v>0.35</v>
      </c>
      <c r="G17" s="60">
        <v>1.8500000000000001E-3</v>
      </c>
      <c r="H17" s="61">
        <f t="shared" si="1"/>
        <v>43.26</v>
      </c>
      <c r="I17" s="62"/>
      <c r="J17" s="61"/>
      <c r="K17" s="63">
        <v>43.26</v>
      </c>
      <c r="M17" s="52" t="str">
        <f t="shared" si="2"/>
        <v>MATERASSINO</v>
      </c>
      <c r="N17" s="53" t="str">
        <f t="shared" si="2"/>
        <v>SW 607 HT 128 BLANKET</v>
      </c>
      <c r="O17" s="72" t="str">
        <f t="shared" si="2"/>
        <v>14640x610x13</v>
      </c>
      <c r="P17" s="75" t="s">
        <v>25</v>
      </c>
      <c r="Q17" s="97">
        <v>1</v>
      </c>
      <c r="R17" s="111"/>
      <c r="S17" s="97"/>
      <c r="T17" s="111"/>
      <c r="U17" s="99">
        <f t="shared" si="10"/>
        <v>66.700431000000009</v>
      </c>
      <c r="V17" s="94">
        <f t="shared" si="19"/>
        <v>0</v>
      </c>
      <c r="W17" s="103">
        <f t="shared" si="4"/>
        <v>0</v>
      </c>
      <c r="X17" s="116">
        <f t="shared" si="12"/>
        <v>0</v>
      </c>
    </row>
    <row r="18" spans="1:24" s="1" customFormat="1" ht="19.899999999999999" customHeight="1" x14ac:dyDescent="0.2">
      <c r="A18" s="52" t="s">
        <v>19</v>
      </c>
      <c r="B18" s="53" t="s">
        <v>44</v>
      </c>
      <c r="C18" s="53" t="s">
        <v>23</v>
      </c>
      <c r="D18" s="81">
        <f t="shared" ref="D18" si="44">(((H18)*IF(F18=15%,1.18,IF(F18=20%,1.25,IF(F18=23%,1.3,IF(F18=25%,1.35,IF(F18=28%,1.4,IF(F18=30%,1.43,IF(F18=35%,1.54,IF(F18=40%,1.67,IF(F18=45%,1.82,IF(F18=50%,2)))))))))))+(H18*G18))</f>
        <v>30.4007693</v>
      </c>
      <c r="E18" s="9"/>
      <c r="F18" s="59">
        <v>0.35</v>
      </c>
      <c r="G18" s="60">
        <v>3.9699999999999996E-3</v>
      </c>
      <c r="H18" s="61">
        <f t="shared" ref="H18" si="45">K18+(K18*I18)+J18</f>
        <v>19.690000000000001</v>
      </c>
      <c r="I18" s="62"/>
      <c r="J18" s="61"/>
      <c r="K18" s="63">
        <v>19.690000000000001</v>
      </c>
      <c r="M18" s="52" t="str">
        <f t="shared" ref="M18" si="46">A18</f>
        <v>MATERASSINO</v>
      </c>
      <c r="N18" s="53" t="str">
        <f t="shared" ref="N18" si="47">B18</f>
        <v>SW PLUS 64 BLANKET</v>
      </c>
      <c r="O18" s="72" t="str">
        <f t="shared" ref="O18" si="48">C18</f>
        <v>7320x610x25</v>
      </c>
      <c r="P18" s="75" t="s">
        <v>25</v>
      </c>
      <c r="Q18" s="97">
        <v>10</v>
      </c>
      <c r="R18" s="111"/>
      <c r="S18" s="97">
        <v>1</v>
      </c>
      <c r="T18" s="111"/>
      <c r="U18" s="99">
        <f t="shared" si="10"/>
        <v>304.00769300000002</v>
      </c>
      <c r="V18" s="94">
        <f t="shared" ref="V18" si="49">R18*D18</f>
        <v>0</v>
      </c>
      <c r="W18" s="103">
        <f t="shared" si="4"/>
        <v>30.4007693</v>
      </c>
      <c r="X18" s="116">
        <f t="shared" si="12"/>
        <v>0</v>
      </c>
    </row>
    <row r="19" spans="1:24" s="1" customFormat="1" ht="19.899999999999999" customHeight="1" x14ac:dyDescent="0.2">
      <c r="A19" s="52" t="s">
        <v>20</v>
      </c>
      <c r="B19" s="53" t="s">
        <v>21</v>
      </c>
      <c r="C19" s="53" t="s">
        <v>14</v>
      </c>
      <c r="D19" s="81">
        <f t="shared" si="0"/>
        <v>1.0003200000000001</v>
      </c>
      <c r="E19" s="9"/>
      <c r="F19" s="59">
        <v>0.35</v>
      </c>
      <c r="G19" s="60">
        <v>2.3E-2</v>
      </c>
      <c r="H19" s="61">
        <f t="shared" si="1"/>
        <v>0.64</v>
      </c>
      <c r="I19" s="62"/>
      <c r="J19" s="61"/>
      <c r="K19" s="63">
        <v>0.64</v>
      </c>
      <c r="M19" s="52" t="str">
        <f t="shared" si="2"/>
        <v>INTONACO</v>
      </c>
      <c r="N19" s="53" t="str">
        <f t="shared" si="2"/>
        <v>RGV DIPLASTIT D65-3</v>
      </c>
      <c r="O19" s="72" t="str">
        <f t="shared" si="2"/>
        <v>sacchi da 25 kg</v>
      </c>
      <c r="P19" s="75" t="s">
        <v>16</v>
      </c>
      <c r="Q19" s="97">
        <v>400</v>
      </c>
      <c r="R19" s="111">
        <v>100</v>
      </c>
      <c r="S19" s="97">
        <v>225</v>
      </c>
      <c r="T19" s="111"/>
      <c r="U19" s="99">
        <f t="shared" si="10"/>
        <v>400.12800000000004</v>
      </c>
      <c r="V19" s="94">
        <f t="shared" si="19"/>
        <v>100.03200000000001</v>
      </c>
      <c r="W19" s="103">
        <f t="shared" si="4"/>
        <v>225.07200000000003</v>
      </c>
      <c r="X19" s="116">
        <f t="shared" si="12"/>
        <v>0</v>
      </c>
    </row>
    <row r="20" spans="1:24" s="1" customFormat="1" ht="19.899999999999999" customHeight="1" x14ac:dyDescent="0.2">
      <c r="A20" s="52" t="s">
        <v>12</v>
      </c>
      <c r="B20" s="53" t="s">
        <v>51</v>
      </c>
      <c r="C20" s="53" t="s">
        <v>14</v>
      </c>
      <c r="D20" s="81">
        <f t="shared" si="0"/>
        <v>1.0507199999999999</v>
      </c>
      <c r="E20" s="9"/>
      <c r="F20" s="59">
        <v>0.35</v>
      </c>
      <c r="G20" s="60">
        <v>5.1999999999999998E-2</v>
      </c>
      <c r="H20" s="61">
        <f t="shared" si="1"/>
        <v>0.66</v>
      </c>
      <c r="I20" s="62"/>
      <c r="J20" s="61"/>
      <c r="K20" s="63">
        <v>0.66</v>
      </c>
      <c r="M20" s="52" t="str">
        <f t="shared" si="2"/>
        <v>CALCESTRUZZO</v>
      </c>
      <c r="N20" s="53" t="str">
        <f t="shared" si="2"/>
        <v>RGV DIDURIT M60-6</v>
      </c>
      <c r="O20" s="72" t="str">
        <f t="shared" si="2"/>
        <v>sacchi da 25 kg</v>
      </c>
      <c r="P20" s="75" t="s">
        <v>16</v>
      </c>
      <c r="Q20" s="97"/>
      <c r="R20" s="111">
        <f>300+200+150+600</f>
        <v>1250</v>
      </c>
      <c r="S20" s="97"/>
      <c r="T20" s="111">
        <v>150</v>
      </c>
      <c r="U20" s="99">
        <f t="shared" si="10"/>
        <v>0</v>
      </c>
      <c r="V20" s="94">
        <f t="shared" si="19"/>
        <v>1313.3999999999999</v>
      </c>
      <c r="W20" s="103">
        <f t="shared" si="4"/>
        <v>0</v>
      </c>
      <c r="X20" s="116">
        <f t="shared" si="12"/>
        <v>157.60799999999998</v>
      </c>
    </row>
    <row r="21" spans="1:24" s="1" customFormat="1" ht="19.899999999999999" customHeight="1" x14ac:dyDescent="0.2">
      <c r="A21" s="52" t="s">
        <v>27</v>
      </c>
      <c r="B21" s="53" t="s">
        <v>28</v>
      </c>
      <c r="C21" s="53" t="s">
        <v>29</v>
      </c>
      <c r="D21" s="81">
        <f t="shared" si="0"/>
        <v>1.8503999999999998</v>
      </c>
      <c r="E21" s="9"/>
      <c r="F21" s="59">
        <v>0.35</v>
      </c>
      <c r="G21" s="60">
        <v>2E-3</v>
      </c>
      <c r="H21" s="61">
        <f t="shared" si="1"/>
        <v>1.2</v>
      </c>
      <c r="I21" s="62"/>
      <c r="J21" s="61"/>
      <c r="K21" s="63">
        <v>1.2</v>
      </c>
      <c r="M21" s="52" t="str">
        <f t="shared" si="2"/>
        <v>PLASTICO</v>
      </c>
      <c r="N21" s="53" t="str">
        <f t="shared" si="2"/>
        <v>RGV RAM 85 HS</v>
      </c>
      <c r="O21" s="72" t="str">
        <f t="shared" si="2"/>
        <v>scatola da 25 kg</v>
      </c>
      <c r="P21" s="75" t="s">
        <v>16</v>
      </c>
      <c r="Q21" s="97">
        <v>50</v>
      </c>
      <c r="R21" s="111"/>
      <c r="S21" s="97">
        <v>50</v>
      </c>
      <c r="T21" s="111"/>
      <c r="U21" s="99">
        <f t="shared" si="10"/>
        <v>92.52</v>
      </c>
      <c r="V21" s="94">
        <f t="shared" si="19"/>
        <v>0</v>
      </c>
      <c r="W21" s="103">
        <f t="shared" si="4"/>
        <v>92.52</v>
      </c>
      <c r="X21" s="116">
        <f t="shared" si="12"/>
        <v>0</v>
      </c>
    </row>
    <row r="22" spans="1:24" s="1" customFormat="1" ht="19.899999999999999" customHeight="1" x14ac:dyDescent="0.2">
      <c r="A22" s="52" t="s">
        <v>12</v>
      </c>
      <c r="B22" s="53" t="s">
        <v>48</v>
      </c>
      <c r="C22" s="53" t="s">
        <v>14</v>
      </c>
      <c r="D22" s="81">
        <f t="shared" si="0"/>
        <v>1.25064</v>
      </c>
      <c r="E22" s="9"/>
      <c r="F22" s="59">
        <v>0.35</v>
      </c>
      <c r="G22" s="60">
        <v>4.0000000000000001E-3</v>
      </c>
      <c r="H22" s="61">
        <f t="shared" si="1"/>
        <v>0.81</v>
      </c>
      <c r="I22" s="62"/>
      <c r="J22" s="61"/>
      <c r="K22" s="63">
        <v>0.81</v>
      </c>
      <c r="M22" s="52" t="str">
        <f t="shared" si="2"/>
        <v>CALCESTRUZZO</v>
      </c>
      <c r="N22" s="53" t="str">
        <f t="shared" si="2"/>
        <v>COMPAC SOL M64 COR 6</v>
      </c>
      <c r="O22" s="72" t="str">
        <f t="shared" si="2"/>
        <v>sacchi da 25 kg</v>
      </c>
      <c r="P22" s="75" t="s">
        <v>16</v>
      </c>
      <c r="Q22" s="97"/>
      <c r="R22" s="111"/>
      <c r="S22" s="97"/>
      <c r="T22" s="111"/>
      <c r="U22" s="99">
        <f t="shared" si="10"/>
        <v>0</v>
      </c>
      <c r="V22" s="94">
        <f t="shared" si="19"/>
        <v>0</v>
      </c>
      <c r="W22" s="103">
        <f t="shared" si="4"/>
        <v>0</v>
      </c>
      <c r="X22" s="116">
        <f t="shared" si="12"/>
        <v>0</v>
      </c>
    </row>
    <row r="23" spans="1:24" s="1" customFormat="1" ht="19.899999999999999" customHeight="1" x14ac:dyDescent="0.2">
      <c r="A23" s="52" t="s">
        <v>49</v>
      </c>
      <c r="B23" s="53" t="s">
        <v>50</v>
      </c>
      <c r="C23" s="53" t="s">
        <v>22</v>
      </c>
      <c r="D23" s="81">
        <f t="shared" ref="D23" si="50">(((H23)*IF(F23=15%,1.18,IF(F23=20%,1.25,IF(F23=23%,1.3,IF(F23=25%,1.35,IF(F23=28%,1.4,IF(F23=30%,1.43,IF(F23=35%,1.54,IF(F23=40%,1.67,IF(F23=45%,1.82,IF(F23=50%,2)))))))))))+(H23*G23))</f>
        <v>2.9506999999999999</v>
      </c>
      <c r="E23" s="9"/>
      <c r="F23" s="59">
        <v>0.35</v>
      </c>
      <c r="G23" s="60">
        <v>1.2999999999999999E-2</v>
      </c>
      <c r="H23" s="61">
        <f t="shared" ref="H23" si="51">K23+(K23*I23)+J23</f>
        <v>1.9</v>
      </c>
      <c r="I23" s="62"/>
      <c r="J23" s="61"/>
      <c r="K23" s="63">
        <v>1.9</v>
      </c>
      <c r="M23" s="52" t="str">
        <f t="shared" ref="M23" si="52">A23</f>
        <v xml:space="preserve">LEGANTE </v>
      </c>
      <c r="N23" s="53" t="str">
        <f t="shared" ref="N23" si="53">B23</f>
        <v>DIVASIL</v>
      </c>
      <c r="O23" s="72" t="str">
        <f t="shared" ref="O23" si="54">C23</f>
        <v>fustini da 20 kg</v>
      </c>
      <c r="P23" s="75" t="s">
        <v>16</v>
      </c>
      <c r="Q23" s="97"/>
      <c r="R23" s="111"/>
      <c r="S23" s="97"/>
      <c r="T23" s="111"/>
      <c r="U23" s="99">
        <f t="shared" si="10"/>
        <v>0</v>
      </c>
      <c r="V23" s="94">
        <f t="shared" ref="V23" si="55">R23*D23</f>
        <v>0</v>
      </c>
      <c r="W23" s="103">
        <f t="shared" si="4"/>
        <v>0</v>
      </c>
      <c r="X23" s="116">
        <f t="shared" si="12"/>
        <v>0</v>
      </c>
    </row>
    <row r="24" spans="1:24" s="1" customFormat="1" ht="19.899999999999999" customHeight="1" x14ac:dyDescent="0.2">
      <c r="A24" s="52" t="s">
        <v>45</v>
      </c>
      <c r="B24" s="53" t="s">
        <v>65</v>
      </c>
      <c r="C24" s="53" t="s">
        <v>22</v>
      </c>
      <c r="D24" s="81">
        <f t="shared" si="0"/>
        <v>4.3011150000000002</v>
      </c>
      <c r="E24" s="9"/>
      <c r="F24" s="59">
        <v>0.35</v>
      </c>
      <c r="G24" s="60">
        <v>3.5499999999999997E-2</v>
      </c>
      <c r="H24" s="61">
        <f t="shared" si="1"/>
        <v>2.73</v>
      </c>
      <c r="I24" s="62"/>
      <c r="J24" s="61"/>
      <c r="K24" s="63">
        <v>2.73</v>
      </c>
      <c r="M24" s="52" t="str">
        <f t="shared" si="2"/>
        <v>FIBRA MORBIDA</v>
      </c>
      <c r="N24" s="53" t="str">
        <f t="shared" si="2"/>
        <v>FILL 607 HT BIO</v>
      </c>
      <c r="O24" s="72" t="str">
        <f t="shared" si="2"/>
        <v>fustini da 20 kg</v>
      </c>
      <c r="P24" s="75" t="s">
        <v>16</v>
      </c>
      <c r="Q24" s="97"/>
      <c r="R24" s="111">
        <v>20</v>
      </c>
      <c r="S24" s="97"/>
      <c r="T24" s="111"/>
      <c r="U24" s="99">
        <f t="shared" si="10"/>
        <v>0</v>
      </c>
      <c r="V24" s="94">
        <f t="shared" si="19"/>
        <v>86.022300000000001</v>
      </c>
      <c r="W24" s="103">
        <f t="shared" si="4"/>
        <v>0</v>
      </c>
      <c r="X24" s="116">
        <f t="shared" si="12"/>
        <v>0</v>
      </c>
    </row>
    <row r="25" spans="1:24" s="1" customFormat="1" ht="19.899999999999999" customHeight="1" thickBot="1" x14ac:dyDescent="0.25">
      <c r="A25" s="50" t="s">
        <v>45</v>
      </c>
      <c r="B25" s="51" t="s">
        <v>46</v>
      </c>
      <c r="C25" s="66" t="s">
        <v>47</v>
      </c>
      <c r="D25" s="81">
        <f t="shared" si="0"/>
        <v>3.9009600000000004</v>
      </c>
      <c r="E25" s="9"/>
      <c r="F25" s="54">
        <v>0.35</v>
      </c>
      <c r="G25" s="55">
        <v>8.0000000000000002E-3</v>
      </c>
      <c r="H25" s="56">
        <f t="shared" si="1"/>
        <v>2.52</v>
      </c>
      <c r="I25" s="57"/>
      <c r="J25" s="56"/>
      <c r="K25" s="58">
        <v>2.52</v>
      </c>
      <c r="M25" s="50" t="str">
        <f t="shared" si="2"/>
        <v>FIBRA MORBIDA</v>
      </c>
      <c r="N25" s="51" t="str">
        <f t="shared" si="2"/>
        <v>RG FILL 607HT BIO</v>
      </c>
      <c r="O25" s="73" t="str">
        <f t="shared" si="2"/>
        <v>cartucce da gr. 300</v>
      </c>
      <c r="P25" s="76" t="s">
        <v>25</v>
      </c>
      <c r="Q25" s="98">
        <v>20</v>
      </c>
      <c r="R25" s="112"/>
      <c r="S25" s="98">
        <v>20</v>
      </c>
      <c r="T25" s="112"/>
      <c r="U25" s="100">
        <f>Q25*D25</f>
        <v>78.019200000000012</v>
      </c>
      <c r="V25" s="95">
        <f t="shared" si="19"/>
        <v>0</v>
      </c>
      <c r="W25" s="104">
        <f t="shared" si="4"/>
        <v>78.019200000000012</v>
      </c>
      <c r="X25" s="117">
        <f t="shared" si="12"/>
        <v>0</v>
      </c>
    </row>
    <row r="26" spans="1:24" s="1" customFormat="1" ht="19.899999999999999" customHeight="1" x14ac:dyDescent="0.2">
      <c r="D26" s="78"/>
      <c r="M26" s="30"/>
      <c r="N26" s="30"/>
      <c r="O26" s="30"/>
      <c r="P26" s="31"/>
      <c r="Q26" s="32"/>
      <c r="R26" s="32"/>
      <c r="S26" s="32"/>
      <c r="T26" s="32"/>
      <c r="U26" s="101">
        <f>SUM(U6:U25)</f>
        <v>3894.6610080000005</v>
      </c>
      <c r="V26" s="37">
        <f>SUM(V6:V25)</f>
        <v>5155.8539999999994</v>
      </c>
      <c r="W26" s="101">
        <f>SUM(W6:W25)</f>
        <v>458.04396930000001</v>
      </c>
      <c r="X26" s="68">
        <f>SUM(X6:X25)</f>
        <v>1183.2645949999999</v>
      </c>
    </row>
    <row r="27" spans="1:24" s="1" customFormat="1" ht="19.899999999999999" customHeight="1" thickBot="1" x14ac:dyDescent="0.25">
      <c r="D27" s="78"/>
      <c r="M27" s="30"/>
      <c r="N27" s="30"/>
      <c r="O27" s="30"/>
      <c r="P27" s="31"/>
      <c r="Q27" s="32"/>
      <c r="R27" s="32"/>
      <c r="S27" s="32"/>
      <c r="T27" s="32"/>
      <c r="U27" s="67"/>
      <c r="V27" s="67"/>
      <c r="W27" s="67"/>
      <c r="X27" s="67"/>
    </row>
    <row r="28" spans="1:24" s="1" customFormat="1" ht="19.899999999999999" customHeight="1" x14ac:dyDescent="0.2">
      <c r="A28" s="27" t="s">
        <v>56</v>
      </c>
      <c r="B28" s="28" t="s">
        <v>55</v>
      </c>
      <c r="C28" s="28" t="s">
        <v>54</v>
      </c>
      <c r="D28" s="81">
        <f>H28</f>
        <v>28</v>
      </c>
      <c r="E28" s="9"/>
      <c r="F28" s="10"/>
      <c r="G28" s="49"/>
      <c r="H28" s="11">
        <f t="shared" ref="H28:H29" si="56">K28+(K28*I28)+J28</f>
        <v>28</v>
      </c>
      <c r="I28" s="12"/>
      <c r="J28" s="11"/>
      <c r="K28" s="13">
        <v>28</v>
      </c>
      <c r="M28" s="27" t="str">
        <f t="shared" ref="M28:M29" si="57">A28</f>
        <v>SAGOMATI IN CLS</v>
      </c>
      <c r="N28" s="28" t="str">
        <f t="shared" ref="N28" si="58">B28</f>
        <v>IMPOSTA DI VOLTA</v>
      </c>
      <c r="O28" s="71" t="str">
        <f t="shared" ref="O28:O29" si="59">C28</f>
        <v>vedi disegno</v>
      </c>
      <c r="P28" s="77" t="s">
        <v>25</v>
      </c>
      <c r="Q28" s="105">
        <v>5</v>
      </c>
      <c r="R28" s="109"/>
      <c r="S28" s="105"/>
      <c r="T28" s="109"/>
      <c r="U28" s="107">
        <f>Q28*D28</f>
        <v>140</v>
      </c>
      <c r="V28" s="113">
        <f t="shared" ref="V28:V29" si="60">R28*D28</f>
        <v>0</v>
      </c>
      <c r="W28" s="124">
        <f t="shared" ref="W28:W31" si="61">S28*D28</f>
        <v>0</v>
      </c>
      <c r="X28" s="127">
        <f>T28*D28</f>
        <v>0</v>
      </c>
    </row>
    <row r="29" spans="1:24" s="1" customFormat="1" ht="19.899999999999999" customHeight="1" x14ac:dyDescent="0.2">
      <c r="A29" s="52" t="s">
        <v>56</v>
      </c>
      <c r="B29" s="53" t="s">
        <v>86</v>
      </c>
      <c r="C29" s="53" t="s">
        <v>54</v>
      </c>
      <c r="D29" s="81">
        <f>H29</f>
        <v>28</v>
      </c>
      <c r="E29" s="9"/>
      <c r="F29" s="59"/>
      <c r="G29" s="60"/>
      <c r="H29" s="61">
        <f t="shared" si="56"/>
        <v>28</v>
      </c>
      <c r="I29" s="62"/>
      <c r="J29" s="61"/>
      <c r="K29" s="63">
        <v>28</v>
      </c>
      <c r="M29" s="52" t="str">
        <f t="shared" si="57"/>
        <v>SAGOMATI IN CLS</v>
      </c>
      <c r="N29" s="53" t="str">
        <f>B29</f>
        <v>GIUNTI DI DILATAZIONE</v>
      </c>
      <c r="O29" s="72" t="str">
        <f t="shared" si="59"/>
        <v>vedi disegno</v>
      </c>
      <c r="P29" s="79" t="s">
        <v>25</v>
      </c>
      <c r="Q29" s="106"/>
      <c r="R29" s="110">
        <v>14</v>
      </c>
      <c r="S29" s="106"/>
      <c r="T29" s="110"/>
      <c r="U29" s="108">
        <f>Q29*D29</f>
        <v>0</v>
      </c>
      <c r="V29" s="114">
        <f t="shared" si="60"/>
        <v>392</v>
      </c>
      <c r="W29" s="125">
        <f t="shared" si="61"/>
        <v>0</v>
      </c>
      <c r="X29" s="128">
        <f t="shared" ref="X29:X33" si="62">T29*D29</f>
        <v>0</v>
      </c>
    </row>
    <row r="30" spans="1:24" s="1" customFormat="1" ht="19.899999999999999" customHeight="1" x14ac:dyDescent="0.2">
      <c r="A30" s="52" t="s">
        <v>56</v>
      </c>
      <c r="B30" s="53" t="s">
        <v>70</v>
      </c>
      <c r="C30" s="53" t="s">
        <v>54</v>
      </c>
      <c r="D30" s="81">
        <f t="shared" ref="D30:D33" si="63">(((H30)*IF(F30=15%,1.18,IF(F30=20%,1.25,IF(F30=23%,1.3,IF(F30=25%,1.35,IF(F30=28%,1.4,IF(F30=30%,1.43,IF(F30=35%,1.54,IF(F30=40%,1.67,IF(F30=45%,1.82,IF(F30=50%,2)))))))))))+(H30*G30))</f>
        <v>13.700660000000001</v>
      </c>
      <c r="E30" s="9"/>
      <c r="F30" s="59">
        <v>0.35</v>
      </c>
      <c r="G30" s="60">
        <v>-5.9999999999999995E-4</v>
      </c>
      <c r="H30" s="61">
        <f t="shared" ref="H30:H31" si="64">K30+(K30*I30)+J30</f>
        <v>8.9</v>
      </c>
      <c r="I30" s="62"/>
      <c r="J30" s="61"/>
      <c r="K30" s="63">
        <v>8.9</v>
      </c>
      <c r="M30" s="52" t="str">
        <f t="shared" ref="M30:M35" si="65">A30</f>
        <v>SAGOMATI IN CLS</v>
      </c>
      <c r="N30" s="53" t="str">
        <f t="shared" ref="N30:N35" si="66">B30</f>
        <v>BA 22 SIRMA 264</v>
      </c>
      <c r="O30" s="72" t="str">
        <f t="shared" ref="O30:O35" si="67">C30</f>
        <v>vedi disegno</v>
      </c>
      <c r="P30" s="79" t="s">
        <v>25</v>
      </c>
      <c r="Q30" s="106"/>
      <c r="R30" s="110"/>
      <c r="S30" s="106"/>
      <c r="T30" s="110"/>
      <c r="U30" s="108">
        <f>Q30*D30</f>
        <v>0</v>
      </c>
      <c r="V30" s="114">
        <f t="shared" ref="V30:V33" si="68">R30*D30</f>
        <v>0</v>
      </c>
      <c r="W30" s="125">
        <f t="shared" si="61"/>
        <v>0</v>
      </c>
      <c r="X30" s="128">
        <f t="shared" si="62"/>
        <v>0</v>
      </c>
    </row>
    <row r="31" spans="1:24" s="1" customFormat="1" ht="19.899999999999999" customHeight="1" x14ac:dyDescent="0.2">
      <c r="A31" s="52" t="s">
        <v>67</v>
      </c>
      <c r="B31" s="53" t="s">
        <v>84</v>
      </c>
      <c r="C31" s="53" t="s">
        <v>54</v>
      </c>
      <c r="D31" s="81">
        <f t="shared" si="63"/>
        <v>8.0002000000000013</v>
      </c>
      <c r="E31" s="9"/>
      <c r="F31" s="59">
        <v>0.35</v>
      </c>
      <c r="G31" s="60">
        <v>-1.5E-3</v>
      </c>
      <c r="H31" s="61">
        <f t="shared" si="64"/>
        <v>5.2</v>
      </c>
      <c r="I31" s="62"/>
      <c r="J31" s="61"/>
      <c r="K31" s="63">
        <v>5.2</v>
      </c>
      <c r="M31" s="52" t="str">
        <f t="shared" si="65"/>
        <v>ANCORAGGI</v>
      </c>
      <c r="N31" s="53" t="str">
        <f t="shared" si="66"/>
        <v>GANCI A MARTELLO AISI 310</v>
      </c>
      <c r="O31" s="72" t="str">
        <f t="shared" si="67"/>
        <v>vedi disegno</v>
      </c>
      <c r="P31" s="75" t="s">
        <v>25</v>
      </c>
      <c r="Q31" s="97"/>
      <c r="R31" s="111">
        <v>32</v>
      </c>
      <c r="S31" s="97"/>
      <c r="T31" s="111"/>
      <c r="U31" s="108">
        <f t="shared" ref="U31:U32" si="69">Q31*D31</f>
        <v>0</v>
      </c>
      <c r="V31" s="94">
        <f t="shared" si="68"/>
        <v>256.00640000000004</v>
      </c>
      <c r="W31" s="125">
        <f t="shared" si="61"/>
        <v>0</v>
      </c>
      <c r="X31" s="128">
        <f t="shared" si="62"/>
        <v>0</v>
      </c>
    </row>
    <row r="32" spans="1:24" s="1" customFormat="1" ht="19.899999999999999" customHeight="1" x14ac:dyDescent="0.2">
      <c r="A32" s="52" t="s">
        <v>68</v>
      </c>
      <c r="B32" s="53" t="s">
        <v>71</v>
      </c>
      <c r="C32" s="53" t="s">
        <v>85</v>
      </c>
      <c r="D32" s="81">
        <f t="shared" si="63"/>
        <v>4.6020000000000003</v>
      </c>
      <c r="E32" s="9"/>
      <c r="F32" s="59">
        <v>0.35</v>
      </c>
      <c r="G32" s="60">
        <v>0.02</v>
      </c>
      <c r="H32" s="61">
        <f t="shared" ref="H32" si="70">K32+(K32*I32)+J32</f>
        <v>2.95</v>
      </c>
      <c r="I32" s="62"/>
      <c r="J32" s="61"/>
      <c r="K32" s="63">
        <v>2.95</v>
      </c>
      <c r="M32" s="52" t="str">
        <f t="shared" ref="M32" si="71">A32</f>
        <v>GANCI</v>
      </c>
      <c r="N32" s="53" t="str">
        <f t="shared" ref="N32" si="72">B32</f>
        <v>PROFILO "L" AISI 310</v>
      </c>
      <c r="O32" s="72" t="str">
        <f t="shared" ref="O32" si="73">C32</f>
        <v>da 200x50 e 150x50</v>
      </c>
      <c r="P32" s="75" t="s">
        <v>25</v>
      </c>
      <c r="Q32" s="97"/>
      <c r="R32" s="111">
        <v>66</v>
      </c>
      <c r="S32" s="97"/>
      <c r="T32" s="111"/>
      <c r="U32" s="108">
        <f t="shared" si="69"/>
        <v>0</v>
      </c>
      <c r="V32" s="94">
        <f>R32*D32</f>
        <v>303.73200000000003</v>
      </c>
      <c r="W32" s="125">
        <f t="shared" ref="W32" si="74">S32*D32</f>
        <v>0</v>
      </c>
      <c r="X32" s="128">
        <f t="shared" si="62"/>
        <v>0</v>
      </c>
    </row>
    <row r="33" spans="1:24" s="1" customFormat="1" ht="19.899999999999999" customHeight="1" thickBot="1" x14ac:dyDescent="0.25">
      <c r="A33" s="50" t="s">
        <v>69</v>
      </c>
      <c r="B33" s="51" t="s">
        <v>72</v>
      </c>
      <c r="C33" s="66" t="s">
        <v>54</v>
      </c>
      <c r="D33" s="81">
        <f t="shared" si="63"/>
        <v>0.40125</v>
      </c>
      <c r="E33" s="9"/>
      <c r="F33" s="54">
        <v>0.35</v>
      </c>
      <c r="G33" s="55">
        <v>6.5000000000000002E-2</v>
      </c>
      <c r="H33" s="56">
        <f>K33+(K33*I33)+J33</f>
        <v>0.25</v>
      </c>
      <c r="I33" s="57"/>
      <c r="J33" s="56"/>
      <c r="K33" s="58">
        <v>0.25</v>
      </c>
      <c r="M33" s="50" t="str">
        <f t="shared" si="65"/>
        <v>ANGOLARI</v>
      </c>
      <c r="N33" s="51" t="str">
        <f t="shared" si="66"/>
        <v>ANCOLARI</v>
      </c>
      <c r="O33" s="73" t="str">
        <f t="shared" si="67"/>
        <v>vedi disegno</v>
      </c>
      <c r="P33" s="76" t="s">
        <v>25</v>
      </c>
      <c r="Q33" s="98"/>
      <c r="R33" s="112">
        <v>33</v>
      </c>
      <c r="S33" s="98"/>
      <c r="T33" s="112"/>
      <c r="U33" s="100">
        <f>Q33*D33</f>
        <v>0</v>
      </c>
      <c r="V33" s="95">
        <f t="shared" si="68"/>
        <v>13.241249999999999</v>
      </c>
      <c r="W33" s="126">
        <f t="shared" ref="W33" si="75">S33*D33</f>
        <v>0</v>
      </c>
      <c r="X33" s="129">
        <f t="shared" si="62"/>
        <v>0</v>
      </c>
    </row>
    <row r="34" spans="1:24" s="1" customFormat="1" ht="19.899999999999999" customHeight="1" thickBot="1" x14ac:dyDescent="0.25">
      <c r="A34" s="82"/>
      <c r="B34" s="82"/>
      <c r="C34" s="83"/>
      <c r="D34" s="91"/>
      <c r="E34" s="9"/>
      <c r="F34" s="84"/>
      <c r="G34" s="85"/>
      <c r="H34" s="86"/>
      <c r="I34" s="87"/>
      <c r="J34" s="86"/>
      <c r="K34" s="86"/>
      <c r="L34" s="38"/>
      <c r="M34" s="82"/>
      <c r="N34" s="82"/>
      <c r="O34" s="82"/>
      <c r="P34" s="88"/>
      <c r="Q34" s="89"/>
      <c r="R34" s="89"/>
      <c r="S34" s="89"/>
      <c r="T34" s="89"/>
      <c r="U34" s="90"/>
      <c r="V34" s="90"/>
      <c r="W34" s="90"/>
      <c r="X34" s="68"/>
    </row>
    <row r="35" spans="1:24" s="1" customFormat="1" ht="19.899999999999999" customHeight="1" x14ac:dyDescent="0.2">
      <c r="A35" s="27" t="s">
        <v>77</v>
      </c>
      <c r="B35" s="28" t="s">
        <v>73</v>
      </c>
      <c r="C35" s="28" t="s">
        <v>76</v>
      </c>
      <c r="D35" s="81">
        <f>H35</f>
        <v>15</v>
      </c>
      <c r="E35" s="9"/>
      <c r="F35" s="10"/>
      <c r="G35" s="49"/>
      <c r="H35" s="11">
        <f t="shared" ref="H35" si="76">K35+(K35*I35)+J35</f>
        <v>15</v>
      </c>
      <c r="I35" s="12"/>
      <c r="J35" s="11"/>
      <c r="K35" s="13">
        <v>15</v>
      </c>
      <c r="M35" s="27" t="str">
        <f t="shared" si="65"/>
        <v>IMBALLO PL</v>
      </c>
      <c r="N35" s="28" t="str">
        <f t="shared" si="66"/>
        <v>TERMORETRAIBILE</v>
      </c>
      <c r="O35" s="92" t="str">
        <f t="shared" si="67"/>
        <v>a PL</v>
      </c>
      <c r="P35" s="77" t="s">
        <v>25</v>
      </c>
      <c r="Q35" s="105">
        <v>3</v>
      </c>
      <c r="R35" s="109">
        <v>4</v>
      </c>
      <c r="S35" s="105"/>
      <c r="T35" s="109"/>
      <c r="U35" s="107">
        <f>Q35*D35</f>
        <v>45</v>
      </c>
      <c r="V35" s="113">
        <f>R35*D35</f>
        <v>60</v>
      </c>
      <c r="W35" s="124">
        <f>S35*D35</f>
        <v>0</v>
      </c>
      <c r="X35" s="127">
        <f>T35*D35</f>
        <v>0</v>
      </c>
    </row>
    <row r="36" spans="1:24" s="1" customFormat="1" ht="19.899999999999999" customHeight="1" thickBot="1" x14ac:dyDescent="0.25">
      <c r="A36" s="50" t="s">
        <v>74</v>
      </c>
      <c r="B36" s="51" t="s">
        <v>87</v>
      </c>
      <c r="C36" s="66" t="s">
        <v>75</v>
      </c>
      <c r="D36" s="81">
        <f>H36</f>
        <v>500</v>
      </c>
      <c r="E36" s="9"/>
      <c r="F36" s="54"/>
      <c r="G36" s="55"/>
      <c r="H36" s="56">
        <f>K36+(K36*I36)+J36</f>
        <v>500</v>
      </c>
      <c r="I36" s="57"/>
      <c r="J36" s="56"/>
      <c r="K36" s="58">
        <v>500</v>
      </c>
      <c r="M36" s="50" t="str">
        <f t="shared" ref="M36" si="77">A36</f>
        <v>TRASPORTO</v>
      </c>
      <c r="N36" s="51" t="str">
        <f t="shared" ref="N36" si="78">B36</f>
        <v>consegna e ritiro</v>
      </c>
      <c r="O36" s="93" t="str">
        <f t="shared" ref="O36" si="79">C36</f>
        <v>a forfait</v>
      </c>
      <c r="P36" s="76" t="s">
        <v>25</v>
      </c>
      <c r="Q36" s="98">
        <v>0.5</v>
      </c>
      <c r="R36" s="112">
        <v>1</v>
      </c>
      <c r="S36" s="98"/>
      <c r="T36" s="112"/>
      <c r="U36" s="100">
        <f>Q36*D36</f>
        <v>250</v>
      </c>
      <c r="V36" s="95">
        <f t="shared" ref="V36" si="80">R36*D36</f>
        <v>500</v>
      </c>
      <c r="W36" s="126">
        <f t="shared" ref="W36" si="81">S36*D36</f>
        <v>0</v>
      </c>
      <c r="X36" s="129">
        <f t="shared" ref="X36" si="82">T36*D36</f>
        <v>0</v>
      </c>
    </row>
    <row r="37" spans="1:24" s="1" customFormat="1" ht="19.899999999999999" customHeight="1" x14ac:dyDescent="0.2">
      <c r="M37" s="30"/>
      <c r="N37" s="30"/>
      <c r="O37" s="30"/>
      <c r="P37" s="31"/>
      <c r="Q37" s="32"/>
      <c r="R37" s="32"/>
      <c r="S37" s="32"/>
      <c r="T37" s="32"/>
      <c r="U37" s="101">
        <f>SUM(U28:U36)</f>
        <v>435</v>
      </c>
      <c r="V37" s="37">
        <f>SUM(V28:V36)</f>
        <v>1524.97965</v>
      </c>
      <c r="W37" s="101">
        <f>SUM(W28:W36)</f>
        <v>0</v>
      </c>
      <c r="X37" s="130">
        <f>SUM(X28:X36)</f>
        <v>0</v>
      </c>
    </row>
    <row r="38" spans="1:24" s="1" customFormat="1" ht="19.899999999999999" customHeight="1" x14ac:dyDescent="0.2">
      <c r="A38" s="14" t="s">
        <v>9</v>
      </c>
      <c r="B38" s="14" t="s">
        <v>31</v>
      </c>
      <c r="I38" s="38"/>
      <c r="J38" s="46"/>
      <c r="K38" s="46"/>
      <c r="L38" s="38"/>
      <c r="M38" s="14" t="s">
        <v>9</v>
      </c>
      <c r="N38" s="14" t="s">
        <v>31</v>
      </c>
      <c r="Q38" s="34"/>
      <c r="R38" s="34"/>
      <c r="S38" s="34"/>
      <c r="T38" s="34"/>
      <c r="U38" s="35"/>
      <c r="V38" s="35"/>
      <c r="W38" s="35"/>
      <c r="X38" s="35"/>
    </row>
    <row r="39" spans="1:24" s="1" customFormat="1" ht="19.899999999999999" customHeight="1" x14ac:dyDescent="0.2">
      <c r="A39" s="14"/>
      <c r="B39" s="14"/>
      <c r="I39" s="38"/>
      <c r="J39" s="39"/>
      <c r="K39" s="40"/>
      <c r="L39" s="38"/>
      <c r="M39" s="14"/>
      <c r="O39" s="14"/>
      <c r="Q39" s="34"/>
      <c r="R39" s="34"/>
      <c r="S39" s="34"/>
      <c r="T39" s="34"/>
      <c r="U39" s="33">
        <f>U26+U37+O42</f>
        <v>4429.6610080000009</v>
      </c>
      <c r="V39" s="33">
        <f>V26+V37+O42</f>
        <v>6780.8336499999996</v>
      </c>
      <c r="W39" s="33">
        <f>W26+W37</f>
        <v>458.04396930000001</v>
      </c>
      <c r="X39" s="33">
        <f>X26+X37</f>
        <v>1183.2645949999999</v>
      </c>
    </row>
    <row r="40" spans="1:24" s="1" customFormat="1" ht="19.899999999999999" customHeight="1" x14ac:dyDescent="0.25">
      <c r="A40" s="14" t="s">
        <v>62</v>
      </c>
      <c r="B40" s="14"/>
      <c r="C40" s="6"/>
      <c r="D40" s="6"/>
      <c r="I40" s="38"/>
      <c r="J40" s="41"/>
      <c r="K40" s="42"/>
      <c r="L40" s="38"/>
      <c r="M40" s="14" t="s">
        <v>62</v>
      </c>
      <c r="N40"/>
      <c r="O40" s="14"/>
      <c r="P40" s="6"/>
      <c r="Q40" s="36"/>
      <c r="R40" s="36"/>
      <c r="S40" s="37"/>
      <c r="T40" s="37"/>
    </row>
    <row r="41" spans="1:24" s="1" customFormat="1" ht="12" customHeight="1" x14ac:dyDescent="0.2">
      <c r="A41" s="14"/>
      <c r="B41" s="14"/>
      <c r="C41" s="6"/>
      <c r="D41" s="6"/>
      <c r="E41" s="69"/>
      <c r="F41" s="69"/>
      <c r="L41" s="41"/>
      <c r="M41" s="14"/>
      <c r="O41" s="14"/>
      <c r="P41" s="6"/>
    </row>
    <row r="42" spans="1:24" s="1" customFormat="1" ht="19.899999999999999" customHeight="1" x14ac:dyDescent="0.2">
      <c r="A42" s="14" t="s">
        <v>64</v>
      </c>
      <c r="B42" s="14"/>
      <c r="C42" s="70">
        <v>100</v>
      </c>
      <c r="E42" s="69"/>
      <c r="F42" s="69"/>
      <c r="G42" s="6"/>
      <c r="L42" s="39"/>
      <c r="M42" s="14" t="s">
        <v>64</v>
      </c>
      <c r="O42" s="131">
        <v>100</v>
      </c>
      <c r="P42" s="70"/>
    </row>
    <row r="43" spans="1:24" s="1" customFormat="1" ht="19.899999999999999" customHeight="1" x14ac:dyDescent="0.25">
      <c r="A43" s="14" t="s">
        <v>7</v>
      </c>
      <c r="B43" s="14"/>
      <c r="E43" s="6"/>
      <c r="I43" s="38"/>
      <c r="J43" s="39"/>
      <c r="K43" s="40"/>
      <c r="L43" s="38"/>
      <c r="M43" s="14" t="s">
        <v>7</v>
      </c>
      <c r="N43"/>
      <c r="O43" s="14"/>
    </row>
    <row r="44" spans="1:24" ht="19.899999999999999" customHeight="1" x14ac:dyDescent="0.25">
      <c r="A44" s="14" t="s">
        <v>60</v>
      </c>
      <c r="B44" s="14"/>
      <c r="C44" s="1"/>
      <c r="D44" s="1"/>
      <c r="E44" s="1"/>
      <c r="F44" s="1"/>
      <c r="G44" s="1"/>
      <c r="H44" s="1"/>
      <c r="I44" s="38"/>
      <c r="J44" s="39"/>
      <c r="K44" s="40"/>
      <c r="L44" s="43"/>
      <c r="M44" s="14" t="s">
        <v>60</v>
      </c>
      <c r="O44" s="14"/>
      <c r="P44" s="1"/>
      <c r="U44" s="6"/>
    </row>
    <row r="45" spans="1:24" s="1" customFormat="1" ht="19.899999999999999" customHeight="1" x14ac:dyDescent="0.2">
      <c r="A45" s="14" t="s">
        <v>63</v>
      </c>
      <c r="B45" s="14"/>
      <c r="C45" s="2"/>
      <c r="D45" s="9"/>
      <c r="I45" s="38"/>
      <c r="J45" s="39"/>
      <c r="K45" s="40"/>
      <c r="L45" s="38"/>
      <c r="M45" s="14" t="s">
        <v>63</v>
      </c>
      <c r="N45" s="70"/>
      <c r="O45" s="14"/>
      <c r="P45" s="2"/>
      <c r="U45" s="6"/>
    </row>
    <row r="46" spans="1:24" s="1" customFormat="1" ht="19.899999999999999" customHeight="1" x14ac:dyDescent="0.25">
      <c r="A46" s="14" t="s">
        <v>61</v>
      </c>
      <c r="B46" s="14"/>
      <c r="C46" s="2"/>
      <c r="D46" s="9"/>
      <c r="E46" s="9"/>
      <c r="F46" s="3"/>
      <c r="G46" s="3"/>
      <c r="H46" s="3"/>
      <c r="I46" s="44"/>
      <c r="J46" s="39"/>
      <c r="K46" s="40"/>
      <c r="L46" s="38"/>
      <c r="M46" s="14" t="s">
        <v>61</v>
      </c>
      <c r="N46"/>
      <c r="O46" s="14"/>
      <c r="P46" s="2"/>
    </row>
    <row r="47" spans="1:24" ht="19.899999999999999" customHeight="1" x14ac:dyDescent="0.25">
      <c r="A47" s="14" t="s">
        <v>13</v>
      </c>
      <c r="B47" s="14"/>
      <c r="C47" s="2"/>
      <c r="D47" s="9"/>
      <c r="E47" s="9"/>
      <c r="F47" s="1"/>
      <c r="G47" s="1"/>
      <c r="H47" s="1"/>
      <c r="I47" s="38"/>
      <c r="J47" s="39"/>
      <c r="K47" s="40"/>
      <c r="L47" s="45"/>
      <c r="M47" s="14" t="s">
        <v>13</v>
      </c>
      <c r="O47" s="14"/>
      <c r="P47" s="2"/>
      <c r="U47" s="1"/>
    </row>
    <row r="48" spans="1:24" x14ac:dyDescent="0.25">
      <c r="U48" s="1"/>
    </row>
    <row r="49" spans="21:21" x14ac:dyDescent="0.25">
      <c r="U49" s="9"/>
    </row>
    <row r="50" spans="21:21" x14ac:dyDescent="0.25">
      <c r="U50" s="9"/>
    </row>
    <row r="51" spans="21:21" x14ac:dyDescent="0.25">
      <c r="U51" s="9"/>
    </row>
  </sheetData>
  <mergeCells count="8">
    <mergeCell ref="A1:D1"/>
    <mergeCell ref="A2:D2"/>
    <mergeCell ref="A3:D3"/>
    <mergeCell ref="A5:B5"/>
    <mergeCell ref="M5:N5"/>
    <mergeCell ref="M1:P1"/>
    <mergeCell ref="M2:P2"/>
    <mergeCell ref="M3:P3"/>
  </mergeCells>
  <printOptions horizontalCentered="1"/>
  <pageMargins left="0" right="0" top="0.19685039370078741" bottom="0.39370078740157483" header="0.31496062992125984" footer="0"/>
  <pageSetup paperSize="9" scale="60" orientation="landscape" horizontalDpi="4294967294" verticalDpi="4294967294" r:id="rId1"/>
  <headerFoot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topLeftCell="F60" zoomScale="85" zoomScaleNormal="85" workbookViewId="0">
      <selection activeCell="M90" sqref="M90"/>
    </sheetView>
  </sheetViews>
  <sheetFormatPr defaultRowHeight="15" x14ac:dyDescent="0.25"/>
  <cols>
    <col min="1" max="1" width="4.7109375" customWidth="1"/>
    <col min="2" max="2" width="26" customWidth="1"/>
    <col min="3" max="4" width="12.7109375" customWidth="1"/>
    <col min="5" max="5" width="10.7109375" customWidth="1"/>
    <col min="6" max="6" width="11.5703125" customWidth="1"/>
    <col min="7" max="7" width="9.42578125" customWidth="1"/>
    <col min="8" max="9" width="10.7109375" customWidth="1"/>
    <col min="10" max="12" width="8.7109375" customWidth="1"/>
    <col min="13" max="14" width="10.7109375" customWidth="1"/>
    <col min="15" max="15" width="7" customWidth="1"/>
    <col min="16" max="17" width="10.7109375" customWidth="1"/>
    <col min="18" max="18" width="4.7109375" customWidth="1"/>
  </cols>
  <sheetData>
    <row r="1" spans="2:17" ht="21.95" customHeight="1" x14ac:dyDescent="0.25">
      <c r="B1" s="190" t="s">
        <v>116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8"/>
    </row>
    <row r="2" spans="2:17" ht="20.100000000000001" customHeight="1" x14ac:dyDescent="0.25">
      <c r="B2" s="187" t="s">
        <v>114</v>
      </c>
      <c r="C2" s="186"/>
      <c r="D2" s="186"/>
      <c r="E2" s="186"/>
      <c r="F2" s="185"/>
      <c r="G2" s="187" t="s">
        <v>113</v>
      </c>
      <c r="H2" s="186"/>
      <c r="I2" s="186"/>
      <c r="J2" s="185"/>
      <c r="K2" s="183" t="s">
        <v>112</v>
      </c>
      <c r="L2" s="184"/>
      <c r="M2" s="181" t="s">
        <v>111</v>
      </c>
      <c r="N2" s="183" t="s">
        <v>110</v>
      </c>
      <c r="O2" s="182"/>
      <c r="P2" s="181" t="s">
        <v>109</v>
      </c>
      <c r="Q2" s="181" t="s">
        <v>108</v>
      </c>
    </row>
    <row r="3" spans="2:17" ht="20.100000000000001" customHeight="1" x14ac:dyDescent="0.25">
      <c r="B3" s="179" t="s">
        <v>107</v>
      </c>
      <c r="C3" s="180" t="s">
        <v>106</v>
      </c>
      <c r="D3" s="180" t="s">
        <v>105</v>
      </c>
      <c r="E3" s="180" t="s">
        <v>104</v>
      </c>
      <c r="F3" s="179" t="s">
        <v>103</v>
      </c>
      <c r="G3" s="179" t="s">
        <v>102</v>
      </c>
      <c r="H3" s="179" t="s">
        <v>101</v>
      </c>
      <c r="I3" s="179" t="s">
        <v>100</v>
      </c>
      <c r="J3" s="179" t="s">
        <v>99</v>
      </c>
      <c r="K3" s="177"/>
      <c r="L3" s="178"/>
      <c r="M3" s="175"/>
      <c r="N3" s="177"/>
      <c r="O3" s="176"/>
      <c r="P3" s="175"/>
      <c r="Q3" s="175"/>
    </row>
    <row r="4" spans="2:17" x14ac:dyDescent="0.25">
      <c r="B4" s="174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2"/>
    </row>
    <row r="5" spans="2:17" x14ac:dyDescent="0.25">
      <c r="B5" s="170" t="s">
        <v>98</v>
      </c>
      <c r="C5" s="167">
        <v>1000</v>
      </c>
      <c r="D5" s="167">
        <v>600</v>
      </c>
      <c r="E5" s="167">
        <v>50</v>
      </c>
      <c r="F5" s="167">
        <v>100</v>
      </c>
      <c r="G5" s="166">
        <v>2</v>
      </c>
      <c r="H5" s="165">
        <v>2</v>
      </c>
      <c r="I5" s="165">
        <v>1.1399999999999999</v>
      </c>
      <c r="J5" s="165">
        <v>0.05</v>
      </c>
      <c r="K5" s="169">
        <f>(G5*H5*I5)</f>
        <v>4.5599999999999996</v>
      </c>
      <c r="L5" s="168" t="s">
        <v>94</v>
      </c>
      <c r="M5" s="158"/>
      <c r="N5" s="157"/>
      <c r="O5" s="157"/>
      <c r="P5" s="156"/>
      <c r="Q5" s="155"/>
    </row>
    <row r="6" spans="2:17" x14ac:dyDescent="0.25">
      <c r="B6" s="154"/>
      <c r="C6" s="167">
        <v>1000</v>
      </c>
      <c r="D6" s="167">
        <v>600</v>
      </c>
      <c r="E6" s="167">
        <v>50</v>
      </c>
      <c r="F6" s="167">
        <v>100</v>
      </c>
      <c r="G6" s="166">
        <v>2</v>
      </c>
      <c r="H6" s="165">
        <v>2</v>
      </c>
      <c r="I6" s="165">
        <v>1.1399999999999999</v>
      </c>
      <c r="J6" s="165">
        <v>0.05</v>
      </c>
      <c r="K6" s="169">
        <f>(G6*H6*I6)</f>
        <v>4.5599999999999996</v>
      </c>
      <c r="L6" s="168" t="s">
        <v>94</v>
      </c>
      <c r="M6" s="158"/>
      <c r="N6" s="157"/>
      <c r="O6" s="157"/>
      <c r="P6" s="156"/>
      <c r="Q6" s="155"/>
    </row>
    <row r="7" spans="2:17" x14ac:dyDescent="0.25">
      <c r="B7" s="154"/>
      <c r="C7" s="167">
        <v>1000</v>
      </c>
      <c r="D7" s="167">
        <v>600</v>
      </c>
      <c r="E7" s="167">
        <v>50</v>
      </c>
      <c r="F7" s="167">
        <v>100</v>
      </c>
      <c r="G7" s="166">
        <v>2</v>
      </c>
      <c r="H7" s="165">
        <v>2</v>
      </c>
      <c r="I7" s="165">
        <v>1.1399999999999999</v>
      </c>
      <c r="J7" s="165">
        <v>0.05</v>
      </c>
      <c r="K7" s="169">
        <f>(G7*H7*I7)</f>
        <v>4.5599999999999996</v>
      </c>
      <c r="L7" s="168" t="s">
        <v>94</v>
      </c>
      <c r="M7" s="158"/>
      <c r="N7" s="157"/>
      <c r="O7" s="157"/>
      <c r="P7" s="156"/>
      <c r="Q7" s="155"/>
    </row>
    <row r="8" spans="2:17" x14ac:dyDescent="0.25">
      <c r="B8" s="154"/>
      <c r="C8" s="167">
        <v>1000</v>
      </c>
      <c r="D8" s="167">
        <v>600</v>
      </c>
      <c r="E8" s="167">
        <v>50</v>
      </c>
      <c r="F8" s="167">
        <v>100</v>
      </c>
      <c r="G8" s="166">
        <v>2</v>
      </c>
      <c r="H8" s="165">
        <f>3.7+2+0.38</f>
        <v>6.08</v>
      </c>
      <c r="I8" s="165">
        <v>1.0900000000000001</v>
      </c>
      <c r="J8" s="165">
        <v>0.05</v>
      </c>
      <c r="K8" s="169">
        <f>(G8*H8*I8)</f>
        <v>13.2544</v>
      </c>
      <c r="L8" s="168" t="s">
        <v>94</v>
      </c>
      <c r="M8" s="158"/>
      <c r="N8" s="157"/>
      <c r="O8" s="157"/>
      <c r="P8" s="156"/>
      <c r="Q8" s="155"/>
    </row>
    <row r="9" spans="2:17" x14ac:dyDescent="0.25">
      <c r="B9" s="154"/>
      <c r="C9" s="167">
        <v>1000</v>
      </c>
      <c r="D9" s="167">
        <v>600</v>
      </c>
      <c r="E9" s="167">
        <v>50</v>
      </c>
      <c r="F9" s="167">
        <v>100</v>
      </c>
      <c r="G9" s="166">
        <v>2</v>
      </c>
      <c r="H9" s="165">
        <f>3.7+2+0.38</f>
        <v>6.08</v>
      </c>
      <c r="I9" s="165">
        <v>0.99</v>
      </c>
      <c r="J9" s="165">
        <v>0.05</v>
      </c>
      <c r="K9" s="169">
        <f>(G9*H9*I9)</f>
        <v>12.038399999999999</v>
      </c>
      <c r="L9" s="168" t="s">
        <v>94</v>
      </c>
      <c r="M9" s="158"/>
      <c r="N9" s="157"/>
      <c r="O9" s="157"/>
      <c r="P9" s="156"/>
      <c r="Q9" s="155"/>
    </row>
    <row r="10" spans="2:17" x14ac:dyDescent="0.25">
      <c r="B10" s="154"/>
      <c r="C10" s="167">
        <v>1000</v>
      </c>
      <c r="D10" s="167">
        <v>600</v>
      </c>
      <c r="E10" s="167">
        <v>50</v>
      </c>
      <c r="F10" s="167">
        <v>100</v>
      </c>
      <c r="G10" s="166">
        <v>2</v>
      </c>
      <c r="H10" s="165">
        <f>3.7+2+0.38</f>
        <v>6.08</v>
      </c>
      <c r="I10" s="165">
        <v>0.89</v>
      </c>
      <c r="J10" s="165">
        <v>0.05</v>
      </c>
      <c r="K10" s="169">
        <f>(G10*H10*I10)</f>
        <v>10.8224</v>
      </c>
      <c r="L10" s="168" t="s">
        <v>94</v>
      </c>
      <c r="M10" s="158"/>
      <c r="N10" s="157"/>
      <c r="O10" s="157"/>
      <c r="P10" s="156"/>
      <c r="Q10" s="155"/>
    </row>
    <row r="11" spans="2:17" x14ac:dyDescent="0.25">
      <c r="B11" s="154"/>
      <c r="C11" s="167">
        <v>1000</v>
      </c>
      <c r="D11" s="167">
        <v>600</v>
      </c>
      <c r="E11" s="167">
        <v>50</v>
      </c>
      <c r="F11" s="167">
        <v>100</v>
      </c>
      <c r="G11" s="166">
        <v>2</v>
      </c>
      <c r="H11" s="165">
        <v>6.67</v>
      </c>
      <c r="I11" s="165">
        <v>1.0900000000000001</v>
      </c>
      <c r="J11" s="165">
        <v>0.05</v>
      </c>
      <c r="K11" s="169">
        <f>(G11*H11*I11)</f>
        <v>14.540600000000001</v>
      </c>
      <c r="L11" s="168" t="s">
        <v>94</v>
      </c>
      <c r="M11" s="158"/>
      <c r="N11" s="157"/>
      <c r="O11" s="157"/>
      <c r="P11" s="156"/>
      <c r="Q11" s="155"/>
    </row>
    <row r="12" spans="2:17" x14ac:dyDescent="0.25">
      <c r="B12" s="154"/>
      <c r="C12" s="167">
        <v>1000</v>
      </c>
      <c r="D12" s="167">
        <v>600</v>
      </c>
      <c r="E12" s="167">
        <v>50</v>
      </c>
      <c r="F12" s="167">
        <v>100</v>
      </c>
      <c r="G12" s="166">
        <v>2</v>
      </c>
      <c r="H12" s="165">
        <v>6.67</v>
      </c>
      <c r="I12" s="165">
        <v>0.99</v>
      </c>
      <c r="J12" s="165">
        <v>0.05</v>
      </c>
      <c r="K12" s="169">
        <f>(G12*H12*I12)</f>
        <v>13.2066</v>
      </c>
      <c r="L12" s="168" t="s">
        <v>94</v>
      </c>
      <c r="M12" s="158"/>
      <c r="N12" s="157"/>
      <c r="O12" s="157"/>
      <c r="P12" s="156"/>
      <c r="Q12" s="155"/>
    </row>
    <row r="13" spans="2:17" x14ac:dyDescent="0.25">
      <c r="B13" s="154"/>
      <c r="C13" s="167">
        <v>1000</v>
      </c>
      <c r="D13" s="167">
        <v>600</v>
      </c>
      <c r="E13" s="167">
        <v>50</v>
      </c>
      <c r="F13" s="167">
        <v>100</v>
      </c>
      <c r="G13" s="166">
        <v>2</v>
      </c>
      <c r="H13" s="165">
        <v>6.67</v>
      </c>
      <c r="I13" s="165">
        <v>0.89</v>
      </c>
      <c r="J13" s="165">
        <v>0.05</v>
      </c>
      <c r="K13" s="169">
        <f>(G13*H13*I13)</f>
        <v>11.8726</v>
      </c>
      <c r="L13" s="168" t="s">
        <v>94</v>
      </c>
      <c r="M13" s="158"/>
      <c r="N13" s="157"/>
      <c r="O13" s="157"/>
      <c r="P13" s="156"/>
      <c r="Q13" s="155"/>
    </row>
    <row r="14" spans="2:17" x14ac:dyDescent="0.25">
      <c r="B14" s="154"/>
      <c r="C14" s="167">
        <v>1000</v>
      </c>
      <c r="D14" s="167">
        <v>600</v>
      </c>
      <c r="E14" s="167">
        <v>50</v>
      </c>
      <c r="F14" s="167">
        <v>100</v>
      </c>
      <c r="G14" s="166">
        <v>2</v>
      </c>
      <c r="H14" s="165">
        <v>1</v>
      </c>
      <c r="I14" s="165">
        <v>1.0900000000000001</v>
      </c>
      <c r="J14" s="165">
        <v>0.05</v>
      </c>
      <c r="K14" s="169">
        <f>(G14*H14*I14)</f>
        <v>2.1800000000000002</v>
      </c>
      <c r="L14" s="168" t="s">
        <v>94</v>
      </c>
      <c r="M14" s="158"/>
      <c r="N14" s="157"/>
      <c r="O14" s="157"/>
      <c r="P14" s="156"/>
      <c r="Q14" s="155"/>
    </row>
    <row r="15" spans="2:17" x14ac:dyDescent="0.25">
      <c r="B15" s="154"/>
      <c r="C15" s="167">
        <v>1000</v>
      </c>
      <c r="D15" s="167">
        <v>600</v>
      </c>
      <c r="E15" s="167">
        <v>50</v>
      </c>
      <c r="F15" s="167">
        <v>100</v>
      </c>
      <c r="G15" s="166">
        <v>2</v>
      </c>
      <c r="H15" s="165">
        <v>1</v>
      </c>
      <c r="I15" s="165">
        <v>0.99</v>
      </c>
      <c r="J15" s="165">
        <v>0.05</v>
      </c>
      <c r="K15" s="169">
        <f>(G15*H15*I15)</f>
        <v>1.98</v>
      </c>
      <c r="L15" s="168" t="s">
        <v>94</v>
      </c>
      <c r="M15" s="158"/>
      <c r="N15" s="157"/>
      <c r="O15" s="157"/>
      <c r="P15" s="156"/>
      <c r="Q15" s="155"/>
    </row>
    <row r="16" spans="2:17" x14ac:dyDescent="0.25">
      <c r="B16" s="154"/>
      <c r="C16" s="167">
        <v>1000</v>
      </c>
      <c r="D16" s="167">
        <v>600</v>
      </c>
      <c r="E16" s="167">
        <v>50</v>
      </c>
      <c r="F16" s="167">
        <v>100</v>
      </c>
      <c r="G16" s="166">
        <v>2</v>
      </c>
      <c r="H16" s="165">
        <v>1</v>
      </c>
      <c r="I16" s="165">
        <v>0.89</v>
      </c>
      <c r="J16" s="165">
        <v>0.05</v>
      </c>
      <c r="K16" s="169">
        <f>(G16*H16*I16)</f>
        <v>1.78</v>
      </c>
      <c r="L16" s="168" t="s">
        <v>94</v>
      </c>
      <c r="M16" s="158"/>
      <c r="N16" s="157"/>
      <c r="O16" s="157"/>
      <c r="P16" s="156"/>
      <c r="Q16" s="155"/>
    </row>
    <row r="17" spans="2:17" x14ac:dyDescent="0.25">
      <c r="B17" s="154"/>
      <c r="C17" s="167">
        <v>1000</v>
      </c>
      <c r="D17" s="167">
        <v>600</v>
      </c>
      <c r="E17" s="167">
        <v>50</v>
      </c>
      <c r="F17" s="167">
        <v>100</v>
      </c>
      <c r="G17" s="166">
        <v>2</v>
      </c>
      <c r="H17" s="165">
        <v>1</v>
      </c>
      <c r="I17" s="165">
        <v>0.84</v>
      </c>
      <c r="J17" s="165">
        <v>0.05</v>
      </c>
      <c r="K17" s="169">
        <f>(G17*H17*I17)</f>
        <v>1.68</v>
      </c>
      <c r="L17" s="168" t="s">
        <v>94</v>
      </c>
      <c r="M17" s="158"/>
      <c r="N17" s="157"/>
      <c r="O17" s="157"/>
      <c r="P17" s="156"/>
      <c r="Q17" s="155"/>
    </row>
    <row r="18" spans="2:17" ht="15.75" thickBot="1" x14ac:dyDescent="0.3">
      <c r="B18" s="154"/>
      <c r="C18" s="167">
        <v>1000</v>
      </c>
      <c r="D18" s="167">
        <v>600</v>
      </c>
      <c r="E18" s="167">
        <v>50</v>
      </c>
      <c r="F18" s="167">
        <v>100</v>
      </c>
      <c r="G18" s="166">
        <v>2</v>
      </c>
      <c r="H18" s="165">
        <v>1</v>
      </c>
      <c r="I18" s="165">
        <v>0.79</v>
      </c>
      <c r="J18" s="165">
        <v>0.05</v>
      </c>
      <c r="K18" s="164">
        <f>(G18*H18*I18)</f>
        <v>1.58</v>
      </c>
      <c r="L18" s="163" t="s">
        <v>94</v>
      </c>
      <c r="M18" s="158"/>
      <c r="N18" s="157"/>
      <c r="O18" s="157"/>
      <c r="P18" s="156"/>
      <c r="Q18" s="155"/>
    </row>
    <row r="19" spans="2:17" ht="15.75" thickTop="1" x14ac:dyDescent="0.25">
      <c r="B19" s="154"/>
      <c r="C19" s="153"/>
      <c r="D19" s="153"/>
      <c r="E19" s="153"/>
      <c r="F19" s="153"/>
      <c r="G19" s="153"/>
      <c r="H19" s="153"/>
      <c r="I19" s="153"/>
      <c r="J19" s="153"/>
      <c r="K19" s="162">
        <f>SUM(K5:K18)</f>
        <v>98.615000000000023</v>
      </c>
      <c r="L19" s="161" t="s">
        <v>94</v>
      </c>
      <c r="M19" s="160"/>
      <c r="N19" s="157"/>
      <c r="O19" s="157"/>
      <c r="P19" s="156"/>
      <c r="Q19" s="155"/>
    </row>
    <row r="20" spans="2:17" x14ac:dyDescent="0.25">
      <c r="B20" s="154"/>
      <c r="C20" s="153"/>
      <c r="D20" s="153"/>
      <c r="E20" s="153"/>
      <c r="F20" s="153"/>
      <c r="G20" s="153"/>
      <c r="H20" s="153"/>
      <c r="I20" s="153"/>
      <c r="J20" s="153"/>
      <c r="K20" s="159">
        <f>K19*E18*0.001</f>
        <v>4.9307500000000006</v>
      </c>
      <c r="L20" s="151" t="s">
        <v>93</v>
      </c>
      <c r="M20" s="158"/>
      <c r="N20" s="157"/>
      <c r="O20" s="157"/>
      <c r="P20" s="156"/>
      <c r="Q20" s="155"/>
    </row>
    <row r="21" spans="2:17" x14ac:dyDescent="0.25">
      <c r="B21" s="154"/>
      <c r="C21" s="153"/>
      <c r="D21" s="153"/>
      <c r="E21" s="153"/>
      <c r="F21" s="153"/>
      <c r="G21" s="153"/>
      <c r="H21" s="153"/>
      <c r="I21" s="153"/>
      <c r="J21" s="153"/>
      <c r="K21" s="152">
        <f>K19/(C5*D5*0.000001)</f>
        <v>164.35833333333338</v>
      </c>
      <c r="L21" s="151" t="s">
        <v>97</v>
      </c>
      <c r="M21" s="150">
        <v>0.1</v>
      </c>
      <c r="N21" s="149">
        <f>K21+(K21*M21)</f>
        <v>180.79416666666671</v>
      </c>
      <c r="O21" s="148" t="s">
        <v>97</v>
      </c>
      <c r="P21" s="147"/>
      <c r="Q21" s="146">
        <f>N21*P21</f>
        <v>0</v>
      </c>
    </row>
    <row r="22" spans="2:17" x14ac:dyDescent="0.25">
      <c r="B22" s="154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8"/>
      <c r="N22" s="157"/>
      <c r="O22" s="157"/>
      <c r="P22" s="156"/>
      <c r="Q22" s="155"/>
    </row>
    <row r="23" spans="2:17" x14ac:dyDescent="0.25">
      <c r="B23" s="170" t="s">
        <v>96</v>
      </c>
      <c r="C23" s="167">
        <v>3660</v>
      </c>
      <c r="D23" s="167">
        <v>610</v>
      </c>
      <c r="E23" s="167">
        <v>50</v>
      </c>
      <c r="F23" s="167">
        <v>96</v>
      </c>
      <c r="G23" s="166">
        <v>2</v>
      </c>
      <c r="H23" s="165">
        <v>6.08</v>
      </c>
      <c r="I23" s="165">
        <v>0.74</v>
      </c>
      <c r="J23" s="165">
        <v>0.05</v>
      </c>
      <c r="K23" s="169">
        <f>(G23*H23*I23)</f>
        <v>8.9984000000000002</v>
      </c>
      <c r="L23" s="168" t="s">
        <v>94</v>
      </c>
      <c r="M23" s="158"/>
      <c r="N23" s="157"/>
      <c r="O23" s="157"/>
      <c r="P23" s="156"/>
      <c r="Q23" s="155"/>
    </row>
    <row r="24" spans="2:17" x14ac:dyDescent="0.25">
      <c r="B24" s="154"/>
      <c r="C24" s="167">
        <v>3660</v>
      </c>
      <c r="D24" s="167">
        <v>610</v>
      </c>
      <c r="E24" s="167">
        <v>50</v>
      </c>
      <c r="F24" s="167">
        <v>96</v>
      </c>
      <c r="G24" s="166">
        <v>1</v>
      </c>
      <c r="H24" s="165">
        <v>6.67</v>
      </c>
      <c r="I24" s="165">
        <v>0.74</v>
      </c>
      <c r="J24" s="165">
        <v>0.05</v>
      </c>
      <c r="K24" s="169">
        <f>(G24*H24*I24)</f>
        <v>4.9357999999999995</v>
      </c>
      <c r="L24" s="168" t="s">
        <v>94</v>
      </c>
      <c r="M24" s="158"/>
      <c r="N24" s="157"/>
      <c r="O24" s="157"/>
      <c r="P24" s="156"/>
      <c r="Q24" s="155"/>
    </row>
    <row r="25" spans="2:17" ht="15.75" thickBot="1" x14ac:dyDescent="0.3">
      <c r="B25" s="154"/>
      <c r="C25" s="167">
        <v>3660</v>
      </c>
      <c r="D25" s="167">
        <v>610</v>
      </c>
      <c r="E25" s="167">
        <v>50</v>
      </c>
      <c r="F25" s="167">
        <v>96</v>
      </c>
      <c r="G25" s="166">
        <v>1</v>
      </c>
      <c r="H25" s="165">
        <v>5.67</v>
      </c>
      <c r="I25" s="165">
        <v>0.74</v>
      </c>
      <c r="J25" s="165">
        <v>0.05</v>
      </c>
      <c r="K25" s="164">
        <f>(G25*H25*I25)</f>
        <v>4.1958000000000002</v>
      </c>
      <c r="L25" s="163" t="s">
        <v>94</v>
      </c>
      <c r="M25" s="158"/>
      <c r="N25" s="157"/>
      <c r="O25" s="157"/>
      <c r="P25" s="156"/>
      <c r="Q25" s="155"/>
    </row>
    <row r="26" spans="2:17" ht="15.75" thickTop="1" x14ac:dyDescent="0.25">
      <c r="B26" s="154"/>
      <c r="C26" s="153"/>
      <c r="D26" s="153"/>
      <c r="E26" s="153"/>
      <c r="F26" s="153"/>
      <c r="G26" s="153"/>
      <c r="H26" s="153"/>
      <c r="I26" s="153"/>
      <c r="J26" s="153"/>
      <c r="K26" s="162">
        <f>SUM(K23:K25)</f>
        <v>18.130000000000003</v>
      </c>
      <c r="L26" s="161" t="s">
        <v>94</v>
      </c>
      <c r="M26" s="160"/>
      <c r="N26" s="157"/>
      <c r="O26" s="157"/>
      <c r="P26" s="156"/>
      <c r="Q26" s="155"/>
    </row>
    <row r="27" spans="2:17" x14ac:dyDescent="0.25">
      <c r="B27" s="154"/>
      <c r="C27" s="153"/>
      <c r="D27" s="153"/>
      <c r="E27" s="153"/>
      <c r="F27" s="153"/>
      <c r="G27" s="153"/>
      <c r="H27" s="153"/>
      <c r="I27" s="153"/>
      <c r="J27" s="153"/>
      <c r="K27" s="159">
        <f>K26*E25*0.001</f>
        <v>0.90650000000000008</v>
      </c>
      <c r="L27" s="151" t="s">
        <v>93</v>
      </c>
      <c r="M27" s="158"/>
      <c r="N27" s="157"/>
      <c r="O27" s="157"/>
      <c r="P27" s="156"/>
      <c r="Q27" s="155"/>
    </row>
    <row r="28" spans="2:17" x14ac:dyDescent="0.25">
      <c r="B28" s="154"/>
      <c r="C28" s="153"/>
      <c r="D28" s="153"/>
      <c r="E28" s="153"/>
      <c r="F28" s="153"/>
      <c r="G28" s="153"/>
      <c r="H28" s="153"/>
      <c r="I28" s="153"/>
      <c r="J28" s="153"/>
      <c r="K28" s="152">
        <f>K26/(C23*D23*0.000001)</f>
        <v>8.1205769058496848</v>
      </c>
      <c r="L28" s="151" t="s">
        <v>92</v>
      </c>
      <c r="M28" s="150">
        <v>0.1</v>
      </c>
      <c r="N28" s="149">
        <f>K28+(K28*M28)</f>
        <v>8.932634596434653</v>
      </c>
      <c r="O28" s="148" t="s">
        <v>92</v>
      </c>
      <c r="P28" s="147"/>
      <c r="Q28" s="146">
        <f>N28*P28</f>
        <v>0</v>
      </c>
    </row>
    <row r="29" spans="2:17" x14ac:dyDescent="0.25">
      <c r="B29" s="154"/>
      <c r="C29" s="171"/>
      <c r="D29" s="171"/>
      <c r="E29" s="171"/>
      <c r="F29" s="171"/>
      <c r="G29" s="153"/>
      <c r="H29" s="153"/>
      <c r="I29" s="153"/>
      <c r="J29" s="153"/>
      <c r="K29" s="171"/>
      <c r="L29" s="171"/>
      <c r="M29" s="158"/>
      <c r="N29" s="157"/>
      <c r="O29" s="157"/>
      <c r="P29" s="156"/>
      <c r="Q29" s="155"/>
    </row>
    <row r="30" spans="2:17" x14ac:dyDescent="0.25">
      <c r="B30" s="170" t="s">
        <v>95</v>
      </c>
      <c r="C30" s="167">
        <v>7320</v>
      </c>
      <c r="D30" s="167">
        <v>610</v>
      </c>
      <c r="E30" s="167">
        <v>25</v>
      </c>
      <c r="F30" s="167">
        <v>128</v>
      </c>
      <c r="G30" s="166">
        <v>2</v>
      </c>
      <c r="H30" s="165">
        <v>7.08</v>
      </c>
      <c r="I30" s="165">
        <v>0.69</v>
      </c>
      <c r="J30" s="165">
        <v>2.5000000000000001E-2</v>
      </c>
      <c r="K30" s="169">
        <f>(G30*H30*I30)</f>
        <v>9.7703999999999986</v>
      </c>
      <c r="L30" s="168" t="s">
        <v>94</v>
      </c>
      <c r="M30" s="158"/>
      <c r="N30" s="157"/>
      <c r="O30" s="157"/>
      <c r="P30" s="156"/>
      <c r="Q30" s="155"/>
    </row>
    <row r="31" spans="2:17" x14ac:dyDescent="0.25">
      <c r="B31" s="154"/>
      <c r="C31" s="167">
        <v>7320</v>
      </c>
      <c r="D31" s="167">
        <v>610</v>
      </c>
      <c r="E31" s="167">
        <v>25</v>
      </c>
      <c r="F31" s="167">
        <v>128</v>
      </c>
      <c r="G31" s="166">
        <v>1</v>
      </c>
      <c r="H31" s="165">
        <v>6.67</v>
      </c>
      <c r="I31" s="165">
        <v>0.69</v>
      </c>
      <c r="J31" s="165">
        <v>2.5000000000000001E-2</v>
      </c>
      <c r="K31" s="169">
        <f>(G31*H31*I31)</f>
        <v>4.6022999999999996</v>
      </c>
      <c r="L31" s="168" t="s">
        <v>94</v>
      </c>
      <c r="M31" s="158"/>
      <c r="N31" s="157"/>
      <c r="O31" s="157"/>
      <c r="P31" s="156"/>
      <c r="Q31" s="155"/>
    </row>
    <row r="32" spans="2:17" ht="15.75" thickBot="1" x14ac:dyDescent="0.3">
      <c r="B32" s="154"/>
      <c r="C32" s="167">
        <v>7320</v>
      </c>
      <c r="D32" s="167">
        <v>610</v>
      </c>
      <c r="E32" s="167">
        <v>25</v>
      </c>
      <c r="F32" s="167">
        <v>128</v>
      </c>
      <c r="G32" s="166">
        <v>1</v>
      </c>
      <c r="H32" s="165">
        <v>5.67</v>
      </c>
      <c r="I32" s="165">
        <v>0.69</v>
      </c>
      <c r="J32" s="165">
        <v>2.5000000000000001E-2</v>
      </c>
      <c r="K32" s="164">
        <f>(G32*H32*I32)</f>
        <v>3.9122999999999997</v>
      </c>
      <c r="L32" s="163" t="s">
        <v>94</v>
      </c>
      <c r="M32" s="158"/>
      <c r="N32" s="157"/>
      <c r="O32" s="157"/>
      <c r="P32" s="156"/>
      <c r="Q32" s="155"/>
    </row>
    <row r="33" spans="2:17" ht="15.75" thickTop="1" x14ac:dyDescent="0.25">
      <c r="B33" s="154"/>
      <c r="C33" s="153"/>
      <c r="D33" s="153"/>
      <c r="E33" s="153"/>
      <c r="F33" s="153"/>
      <c r="G33" s="153"/>
      <c r="H33" s="153"/>
      <c r="I33" s="153"/>
      <c r="J33" s="153"/>
      <c r="K33" s="162">
        <f>SUM(K30:K32)</f>
        <v>18.284999999999997</v>
      </c>
      <c r="L33" s="161" t="s">
        <v>94</v>
      </c>
      <c r="M33" s="160"/>
      <c r="N33" s="157"/>
      <c r="O33" s="157"/>
      <c r="P33" s="156"/>
      <c r="Q33" s="155"/>
    </row>
    <row r="34" spans="2:17" x14ac:dyDescent="0.25">
      <c r="B34" s="154"/>
      <c r="C34" s="153"/>
      <c r="D34" s="153"/>
      <c r="E34" s="153"/>
      <c r="F34" s="153"/>
      <c r="G34" s="153"/>
      <c r="H34" s="153"/>
      <c r="I34" s="153"/>
      <c r="J34" s="153"/>
      <c r="K34" s="159">
        <f>K33*E32*0.001</f>
        <v>0.45712499999999989</v>
      </c>
      <c r="L34" s="151" t="s">
        <v>93</v>
      </c>
      <c r="M34" s="158"/>
      <c r="N34" s="157"/>
      <c r="O34" s="157"/>
      <c r="P34" s="156"/>
      <c r="Q34" s="155"/>
    </row>
    <row r="35" spans="2:17" x14ac:dyDescent="0.25">
      <c r="B35" s="154"/>
      <c r="C35" s="153"/>
      <c r="D35" s="153"/>
      <c r="E35" s="153"/>
      <c r="F35" s="153"/>
      <c r="G35" s="153"/>
      <c r="H35" s="153"/>
      <c r="I35" s="153"/>
      <c r="J35" s="153"/>
      <c r="K35" s="152">
        <f>K33/(C30*D30*0.000001)</f>
        <v>4.095001343724805</v>
      </c>
      <c r="L35" s="151" t="s">
        <v>92</v>
      </c>
      <c r="M35" s="150">
        <v>0.1</v>
      </c>
      <c r="N35" s="149">
        <f>K35+(K35*M35)</f>
        <v>4.5045014780972856</v>
      </c>
      <c r="O35" s="148" t="s">
        <v>92</v>
      </c>
      <c r="P35" s="147"/>
      <c r="Q35" s="146">
        <f>N35*P35</f>
        <v>0</v>
      </c>
    </row>
    <row r="36" spans="2:17" x14ac:dyDescent="0.25">
      <c r="B36" s="154"/>
      <c r="C36" s="171"/>
      <c r="D36" s="171"/>
      <c r="E36" s="171"/>
      <c r="F36" s="171"/>
      <c r="G36" s="153"/>
      <c r="H36" s="153"/>
      <c r="I36" s="153"/>
      <c r="J36" s="153"/>
      <c r="K36" s="171"/>
      <c r="L36" s="171"/>
      <c r="M36" s="158"/>
      <c r="N36" s="157"/>
      <c r="O36" s="157"/>
      <c r="P36" s="156"/>
      <c r="Q36" s="155"/>
    </row>
    <row r="37" spans="2:17" x14ac:dyDescent="0.25">
      <c r="B37" s="170" t="s">
        <v>95</v>
      </c>
      <c r="C37" s="167">
        <v>7320</v>
      </c>
      <c r="D37" s="167">
        <v>610</v>
      </c>
      <c r="E37" s="167">
        <v>25</v>
      </c>
      <c r="F37" s="167">
        <v>128</v>
      </c>
      <c r="G37" s="166">
        <v>2</v>
      </c>
      <c r="H37" s="165">
        <v>7.08</v>
      </c>
      <c r="I37" s="165">
        <v>0.66500000000000004</v>
      </c>
      <c r="J37" s="165">
        <v>2.5000000000000001E-2</v>
      </c>
      <c r="K37" s="169">
        <f>(G37*H37*I37)</f>
        <v>9.4164000000000012</v>
      </c>
      <c r="L37" s="168" t="s">
        <v>94</v>
      </c>
      <c r="M37" s="158"/>
      <c r="N37" s="157"/>
      <c r="O37" s="157"/>
      <c r="P37" s="156"/>
      <c r="Q37" s="155"/>
    </row>
    <row r="38" spans="2:17" x14ac:dyDescent="0.25">
      <c r="B38" s="154"/>
      <c r="C38" s="167">
        <v>7320</v>
      </c>
      <c r="D38" s="167">
        <v>610</v>
      </c>
      <c r="E38" s="167">
        <v>25</v>
      </c>
      <c r="F38" s="167">
        <v>128</v>
      </c>
      <c r="G38" s="166">
        <v>1</v>
      </c>
      <c r="H38" s="165">
        <v>6.67</v>
      </c>
      <c r="I38" s="165">
        <v>0.66500000000000004</v>
      </c>
      <c r="J38" s="165">
        <v>2.5000000000000001E-2</v>
      </c>
      <c r="K38" s="169">
        <f>(G38*H38*I38)</f>
        <v>4.4355500000000001</v>
      </c>
      <c r="L38" s="168" t="s">
        <v>94</v>
      </c>
      <c r="M38" s="158"/>
      <c r="N38" s="157"/>
      <c r="O38" s="157"/>
      <c r="P38" s="156"/>
      <c r="Q38" s="155"/>
    </row>
    <row r="39" spans="2:17" ht="15.75" thickBot="1" x14ac:dyDescent="0.3">
      <c r="B39" s="154"/>
      <c r="C39" s="167">
        <v>7320</v>
      </c>
      <c r="D39" s="167">
        <v>610</v>
      </c>
      <c r="E39" s="167">
        <v>25</v>
      </c>
      <c r="F39" s="167">
        <v>128</v>
      </c>
      <c r="G39" s="166">
        <v>1</v>
      </c>
      <c r="H39" s="165">
        <v>6.67</v>
      </c>
      <c r="I39" s="165">
        <v>0.66500000000000004</v>
      </c>
      <c r="J39" s="165">
        <v>2.5000000000000001E-2</v>
      </c>
      <c r="K39" s="164">
        <f>(G39*H39*I39)</f>
        <v>4.4355500000000001</v>
      </c>
      <c r="L39" s="163" t="s">
        <v>94</v>
      </c>
      <c r="M39" s="158"/>
      <c r="N39" s="157"/>
      <c r="O39" s="157"/>
      <c r="P39" s="156"/>
      <c r="Q39" s="155"/>
    </row>
    <row r="40" spans="2:17" ht="15.75" thickTop="1" x14ac:dyDescent="0.25">
      <c r="B40" s="154"/>
      <c r="C40" s="153"/>
      <c r="D40" s="153"/>
      <c r="E40" s="153"/>
      <c r="F40" s="153"/>
      <c r="G40" s="153"/>
      <c r="H40" s="153"/>
      <c r="I40" s="153"/>
      <c r="J40" s="153"/>
      <c r="K40" s="162">
        <f>SUM(K37:K39)</f>
        <v>18.287500000000001</v>
      </c>
      <c r="L40" s="161" t="s">
        <v>94</v>
      </c>
      <c r="M40" s="160"/>
      <c r="N40" s="157"/>
      <c r="O40" s="157"/>
      <c r="P40" s="156"/>
      <c r="Q40" s="155"/>
    </row>
    <row r="41" spans="2:17" x14ac:dyDescent="0.25">
      <c r="B41" s="154"/>
      <c r="C41" s="153"/>
      <c r="D41" s="153"/>
      <c r="E41" s="153"/>
      <c r="F41" s="153"/>
      <c r="G41" s="153"/>
      <c r="H41" s="153"/>
      <c r="I41" s="153"/>
      <c r="J41" s="153"/>
      <c r="K41" s="159">
        <f>K40*E39*0.001</f>
        <v>0.45718750000000008</v>
      </c>
      <c r="L41" s="151" t="s">
        <v>93</v>
      </c>
      <c r="M41" s="158"/>
      <c r="N41" s="157"/>
      <c r="O41" s="157"/>
      <c r="P41" s="156"/>
      <c r="Q41" s="155"/>
    </row>
    <row r="42" spans="2:17" x14ac:dyDescent="0.25">
      <c r="B42" s="154"/>
      <c r="C42" s="153"/>
      <c r="D42" s="153"/>
      <c r="E42" s="153"/>
      <c r="F42" s="153"/>
      <c r="G42" s="153"/>
      <c r="H42" s="153"/>
      <c r="I42" s="153"/>
      <c r="J42" s="153"/>
      <c r="K42" s="152">
        <f>K40/(C37*D37*0.000001)</f>
        <v>4.095561229060289</v>
      </c>
      <c r="L42" s="151" t="s">
        <v>92</v>
      </c>
      <c r="M42" s="150">
        <v>0.35</v>
      </c>
      <c r="N42" s="149">
        <f>K42+(K42*M42)</f>
        <v>5.5290076592313895</v>
      </c>
      <c r="O42" s="148" t="s">
        <v>92</v>
      </c>
      <c r="P42" s="147"/>
      <c r="Q42" s="146">
        <f>N42*P42</f>
        <v>0</v>
      </c>
    </row>
    <row r="43" spans="2:17" x14ac:dyDescent="0.25">
      <c r="B43" s="145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3"/>
      <c r="N43" s="142"/>
      <c r="O43" s="142"/>
      <c r="P43" s="141"/>
      <c r="Q43" s="155"/>
    </row>
    <row r="44" spans="2:17" x14ac:dyDescent="0.25">
      <c r="B44" s="195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3"/>
      <c r="N44" s="192"/>
      <c r="O44" s="192"/>
      <c r="P44" s="191"/>
      <c r="Q44" s="173"/>
    </row>
    <row r="51" spans="2:17" ht="21.95" customHeight="1" x14ac:dyDescent="0.25">
      <c r="B51" s="190" t="s">
        <v>115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8"/>
    </row>
    <row r="52" spans="2:17" ht="20.100000000000001" customHeight="1" x14ac:dyDescent="0.25">
      <c r="B52" s="187" t="s">
        <v>114</v>
      </c>
      <c r="C52" s="186"/>
      <c r="D52" s="186"/>
      <c r="E52" s="186"/>
      <c r="F52" s="185"/>
      <c r="G52" s="187" t="s">
        <v>113</v>
      </c>
      <c r="H52" s="186"/>
      <c r="I52" s="186"/>
      <c r="J52" s="185"/>
      <c r="K52" s="183" t="s">
        <v>112</v>
      </c>
      <c r="L52" s="184"/>
      <c r="M52" s="181" t="s">
        <v>111</v>
      </c>
      <c r="N52" s="183" t="s">
        <v>110</v>
      </c>
      <c r="O52" s="182"/>
      <c r="P52" s="181" t="s">
        <v>109</v>
      </c>
      <c r="Q52" s="181" t="s">
        <v>108</v>
      </c>
    </row>
    <row r="53" spans="2:17" ht="20.100000000000001" customHeight="1" x14ac:dyDescent="0.25">
      <c r="B53" s="179" t="s">
        <v>107</v>
      </c>
      <c r="C53" s="180" t="s">
        <v>106</v>
      </c>
      <c r="D53" s="180" t="s">
        <v>105</v>
      </c>
      <c r="E53" s="180" t="s">
        <v>104</v>
      </c>
      <c r="F53" s="179" t="s">
        <v>103</v>
      </c>
      <c r="G53" s="179" t="s">
        <v>102</v>
      </c>
      <c r="H53" s="179" t="s">
        <v>101</v>
      </c>
      <c r="I53" s="179" t="s">
        <v>100</v>
      </c>
      <c r="J53" s="179" t="s">
        <v>99</v>
      </c>
      <c r="K53" s="177"/>
      <c r="L53" s="178"/>
      <c r="M53" s="175"/>
      <c r="N53" s="177"/>
      <c r="O53" s="176"/>
      <c r="P53" s="175"/>
      <c r="Q53" s="175"/>
    </row>
    <row r="54" spans="2:17" x14ac:dyDescent="0.25">
      <c r="B54" s="174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2"/>
    </row>
    <row r="55" spans="2:17" x14ac:dyDescent="0.25">
      <c r="B55" s="170" t="s">
        <v>98</v>
      </c>
      <c r="C55" s="167">
        <v>1000</v>
      </c>
      <c r="D55" s="167">
        <v>600</v>
      </c>
      <c r="E55" s="167">
        <v>50</v>
      </c>
      <c r="F55" s="167">
        <v>100</v>
      </c>
      <c r="G55" s="166">
        <v>1</v>
      </c>
      <c r="H55" s="165">
        <v>0.93</v>
      </c>
      <c r="I55" s="165">
        <v>0.8</v>
      </c>
      <c r="J55" s="165">
        <v>0.05</v>
      </c>
      <c r="K55" s="169">
        <f>(G55*H55*I55)</f>
        <v>0.74400000000000011</v>
      </c>
      <c r="L55" s="168" t="s">
        <v>94</v>
      </c>
      <c r="M55" s="158"/>
      <c r="N55" s="157"/>
      <c r="O55" s="157"/>
      <c r="P55" s="156"/>
      <c r="Q55" s="155"/>
    </row>
    <row r="56" spans="2:17" x14ac:dyDescent="0.25">
      <c r="B56" s="154"/>
      <c r="C56" s="167">
        <v>1000</v>
      </c>
      <c r="D56" s="167">
        <v>600</v>
      </c>
      <c r="E56" s="167">
        <v>50</v>
      </c>
      <c r="F56" s="167">
        <v>100</v>
      </c>
      <c r="G56" s="166">
        <v>1</v>
      </c>
      <c r="H56" s="165">
        <v>4.2</v>
      </c>
      <c r="I56" s="165">
        <v>0.8</v>
      </c>
      <c r="J56" s="165">
        <v>0.05</v>
      </c>
      <c r="K56" s="169">
        <f>(G56*H56*I56)</f>
        <v>3.3600000000000003</v>
      </c>
      <c r="L56" s="168" t="s">
        <v>94</v>
      </c>
      <c r="M56" s="158"/>
      <c r="N56" s="157"/>
      <c r="O56" s="157"/>
      <c r="P56" s="156"/>
      <c r="Q56" s="155"/>
    </row>
    <row r="57" spans="2:17" x14ac:dyDescent="0.25">
      <c r="B57" s="154"/>
      <c r="C57" s="167">
        <v>1000</v>
      </c>
      <c r="D57" s="167">
        <v>600</v>
      </c>
      <c r="E57" s="167">
        <v>50</v>
      </c>
      <c r="F57" s="167">
        <v>100</v>
      </c>
      <c r="G57" s="166">
        <v>1</v>
      </c>
      <c r="H57" s="165">
        <f>0.36+0.61+0.55+0.89+0.66+0.81+0.73</f>
        <v>4.6100000000000003</v>
      </c>
      <c r="I57" s="165">
        <v>0.8</v>
      </c>
      <c r="J57" s="165">
        <v>0.05</v>
      </c>
      <c r="K57" s="169">
        <f>(G57*H57*I57)</f>
        <v>3.6880000000000006</v>
      </c>
      <c r="L57" s="168" t="s">
        <v>94</v>
      </c>
      <c r="M57" s="158"/>
      <c r="N57" s="157"/>
      <c r="O57" s="157"/>
      <c r="P57" s="156"/>
      <c r="Q57" s="155"/>
    </row>
    <row r="58" spans="2:17" x14ac:dyDescent="0.25">
      <c r="B58" s="154"/>
      <c r="C58" s="167">
        <v>1000</v>
      </c>
      <c r="D58" s="167">
        <v>600</v>
      </c>
      <c r="E58" s="167">
        <v>50</v>
      </c>
      <c r="F58" s="167">
        <v>100</v>
      </c>
      <c r="G58" s="166">
        <v>1</v>
      </c>
      <c r="H58" s="165">
        <v>3.59</v>
      </c>
      <c r="I58" s="165">
        <v>0.8</v>
      </c>
      <c r="J58" s="165">
        <v>0.05</v>
      </c>
      <c r="K58" s="169">
        <f>(G58*H58*I58)</f>
        <v>2.8719999999999999</v>
      </c>
      <c r="L58" s="168" t="s">
        <v>94</v>
      </c>
      <c r="M58" s="158"/>
      <c r="N58" s="157"/>
      <c r="O58" s="157"/>
      <c r="P58" s="156"/>
      <c r="Q58" s="155"/>
    </row>
    <row r="59" spans="2:17" x14ac:dyDescent="0.25">
      <c r="B59" s="154"/>
      <c r="C59" s="167">
        <v>1000</v>
      </c>
      <c r="D59" s="167">
        <v>600</v>
      </c>
      <c r="E59" s="167">
        <v>50</v>
      </c>
      <c r="F59" s="167">
        <v>100</v>
      </c>
      <c r="G59" s="166">
        <v>1</v>
      </c>
      <c r="H59" s="165">
        <v>0.83</v>
      </c>
      <c r="I59" s="165">
        <v>0.7</v>
      </c>
      <c r="J59" s="165">
        <v>0.05</v>
      </c>
      <c r="K59" s="169">
        <f>(G59*H59*I59)</f>
        <v>0.58099999999999996</v>
      </c>
      <c r="L59" s="168" t="s">
        <v>94</v>
      </c>
      <c r="M59" s="158"/>
      <c r="N59" s="157"/>
      <c r="O59" s="157"/>
      <c r="P59" s="156"/>
      <c r="Q59" s="155"/>
    </row>
    <row r="60" spans="2:17" x14ac:dyDescent="0.25">
      <c r="B60" s="154"/>
      <c r="C60" s="167">
        <v>1000</v>
      </c>
      <c r="D60" s="167">
        <v>600</v>
      </c>
      <c r="E60" s="167">
        <v>50</v>
      </c>
      <c r="F60" s="167">
        <v>100</v>
      </c>
      <c r="G60" s="166">
        <v>1</v>
      </c>
      <c r="H60" s="165">
        <v>4.1500000000000004</v>
      </c>
      <c r="I60" s="165">
        <v>0.7</v>
      </c>
      <c r="J60" s="165">
        <v>0.05</v>
      </c>
      <c r="K60" s="169">
        <f>(G60*H60*I60)</f>
        <v>2.9050000000000002</v>
      </c>
      <c r="L60" s="168" t="s">
        <v>94</v>
      </c>
      <c r="M60" s="158"/>
      <c r="N60" s="157"/>
      <c r="O60" s="157"/>
      <c r="P60" s="156"/>
      <c r="Q60" s="155"/>
    </row>
    <row r="61" spans="2:17" x14ac:dyDescent="0.25">
      <c r="B61" s="154"/>
      <c r="C61" s="167">
        <v>1000</v>
      </c>
      <c r="D61" s="167">
        <v>600</v>
      </c>
      <c r="E61" s="167">
        <v>50</v>
      </c>
      <c r="F61" s="167">
        <v>100</v>
      </c>
      <c r="G61" s="166">
        <v>1</v>
      </c>
      <c r="H61" s="165">
        <f>(0.36+0.61+0.55+0.89+0.66+0.81+0.73)-0.05</f>
        <v>4.5600000000000005</v>
      </c>
      <c r="I61" s="165">
        <v>0.7</v>
      </c>
      <c r="J61" s="165">
        <v>0.05</v>
      </c>
      <c r="K61" s="169">
        <f>(G61*H61*I61)</f>
        <v>3.1920000000000002</v>
      </c>
      <c r="L61" s="168" t="s">
        <v>94</v>
      </c>
      <c r="M61" s="158"/>
      <c r="N61" s="157"/>
      <c r="O61" s="157"/>
      <c r="P61" s="156"/>
      <c r="Q61" s="155"/>
    </row>
    <row r="62" spans="2:17" x14ac:dyDescent="0.25">
      <c r="B62" s="154"/>
      <c r="C62" s="167">
        <v>1000</v>
      </c>
      <c r="D62" s="167">
        <v>600</v>
      </c>
      <c r="E62" s="167">
        <v>50</v>
      </c>
      <c r="F62" s="167">
        <v>100</v>
      </c>
      <c r="G62" s="166">
        <v>1</v>
      </c>
      <c r="H62" s="165">
        <v>3.54</v>
      </c>
      <c r="I62" s="165">
        <v>0.7</v>
      </c>
      <c r="J62" s="165">
        <v>0.05</v>
      </c>
      <c r="K62" s="169">
        <f>(G62*H62*I62)</f>
        <v>2.4779999999999998</v>
      </c>
      <c r="L62" s="168" t="s">
        <v>94</v>
      </c>
      <c r="M62" s="158"/>
      <c r="N62" s="157"/>
      <c r="O62" s="157"/>
      <c r="P62" s="156"/>
      <c r="Q62" s="155"/>
    </row>
    <row r="63" spans="2:17" x14ac:dyDescent="0.25">
      <c r="B63" s="154"/>
      <c r="C63" s="167">
        <v>1000</v>
      </c>
      <c r="D63" s="167">
        <v>600</v>
      </c>
      <c r="E63" s="167">
        <v>50</v>
      </c>
      <c r="F63" s="167">
        <v>100</v>
      </c>
      <c r="G63" s="166">
        <v>2</v>
      </c>
      <c r="H63" s="165">
        <v>5.37</v>
      </c>
      <c r="I63" s="165">
        <v>0.92</v>
      </c>
      <c r="J63" s="165">
        <v>0.05</v>
      </c>
      <c r="K63" s="169">
        <f>(G63*H63*I63)</f>
        <v>9.8808000000000007</v>
      </c>
      <c r="L63" s="168" t="s">
        <v>94</v>
      </c>
      <c r="M63" s="158"/>
      <c r="N63" s="157"/>
      <c r="O63" s="157"/>
      <c r="P63" s="156"/>
      <c r="Q63" s="155"/>
    </row>
    <row r="64" spans="2:17" x14ac:dyDescent="0.25">
      <c r="B64" s="154"/>
      <c r="C64" s="167">
        <v>1000</v>
      </c>
      <c r="D64" s="167">
        <v>600</v>
      </c>
      <c r="E64" s="167">
        <v>50</v>
      </c>
      <c r="F64" s="167">
        <v>100</v>
      </c>
      <c r="G64" s="166">
        <v>2</v>
      </c>
      <c r="H64" s="165">
        <v>0.81</v>
      </c>
      <c r="I64" s="165">
        <v>0.92</v>
      </c>
      <c r="J64" s="165">
        <v>0.05</v>
      </c>
      <c r="K64" s="169">
        <f>(G64*H64*I64)</f>
        <v>1.4904000000000002</v>
      </c>
      <c r="L64" s="168" t="s">
        <v>94</v>
      </c>
      <c r="M64" s="158"/>
      <c r="N64" s="157"/>
      <c r="O64" s="157"/>
      <c r="P64" s="156"/>
      <c r="Q64" s="155"/>
    </row>
    <row r="65" spans="2:17" x14ac:dyDescent="0.25">
      <c r="B65" s="154"/>
      <c r="C65" s="167">
        <v>1000</v>
      </c>
      <c r="D65" s="167">
        <v>600</v>
      </c>
      <c r="E65" s="167">
        <v>50</v>
      </c>
      <c r="F65" s="167">
        <v>100</v>
      </c>
      <c r="G65" s="166">
        <v>2</v>
      </c>
      <c r="H65" s="165">
        <v>5.27</v>
      </c>
      <c r="I65" s="165">
        <v>0.82</v>
      </c>
      <c r="J65" s="165">
        <v>0.05</v>
      </c>
      <c r="K65" s="169">
        <f>(G65*H65*I65)</f>
        <v>8.6427999999999994</v>
      </c>
      <c r="L65" s="168" t="s">
        <v>94</v>
      </c>
      <c r="M65" s="158"/>
      <c r="N65" s="157"/>
      <c r="O65" s="157"/>
      <c r="P65" s="156"/>
      <c r="Q65" s="155"/>
    </row>
    <row r="66" spans="2:17" ht="15.75" thickBot="1" x14ac:dyDescent="0.3">
      <c r="B66" s="154"/>
      <c r="C66" s="167">
        <v>1000</v>
      </c>
      <c r="D66" s="167">
        <v>600</v>
      </c>
      <c r="E66" s="167">
        <v>50</v>
      </c>
      <c r="F66" s="167">
        <v>100</v>
      </c>
      <c r="G66" s="166">
        <v>1</v>
      </c>
      <c r="H66" s="165">
        <v>0.71</v>
      </c>
      <c r="I66" s="165">
        <v>0.82</v>
      </c>
      <c r="J66" s="165">
        <v>0.05</v>
      </c>
      <c r="K66" s="164">
        <f>(G66*H66*I66)</f>
        <v>0.58219999999999994</v>
      </c>
      <c r="L66" s="163" t="s">
        <v>94</v>
      </c>
      <c r="M66" s="158"/>
      <c r="N66" s="157"/>
      <c r="O66" s="157"/>
      <c r="P66" s="156"/>
      <c r="Q66" s="155"/>
    </row>
    <row r="67" spans="2:17" ht="15.75" thickTop="1" x14ac:dyDescent="0.25">
      <c r="B67" s="154"/>
      <c r="C67" s="153"/>
      <c r="D67" s="153"/>
      <c r="E67" s="153"/>
      <c r="F67" s="153"/>
      <c r="G67" s="153"/>
      <c r="H67" s="153"/>
      <c r="I67" s="153"/>
      <c r="J67" s="153"/>
      <c r="K67" s="162">
        <f>SUM(K55:K66)</f>
        <v>40.416200000000003</v>
      </c>
      <c r="L67" s="161" t="s">
        <v>94</v>
      </c>
      <c r="M67" s="160"/>
      <c r="N67" s="157"/>
      <c r="O67" s="157"/>
      <c r="P67" s="156"/>
      <c r="Q67" s="155"/>
    </row>
    <row r="68" spans="2:17" x14ac:dyDescent="0.25">
      <c r="B68" s="154"/>
      <c r="C68" s="153"/>
      <c r="D68" s="153"/>
      <c r="E68" s="153"/>
      <c r="F68" s="153"/>
      <c r="G68" s="153"/>
      <c r="H68" s="153"/>
      <c r="I68" s="153"/>
      <c r="J68" s="153"/>
      <c r="K68" s="159">
        <f>K67*E66*0.001</f>
        <v>2.02081</v>
      </c>
      <c r="L68" s="151" t="s">
        <v>93</v>
      </c>
      <c r="M68" s="158"/>
      <c r="N68" s="157"/>
      <c r="O68" s="157"/>
      <c r="P68" s="156"/>
      <c r="Q68" s="155"/>
    </row>
    <row r="69" spans="2:17" x14ac:dyDescent="0.25">
      <c r="B69" s="154"/>
      <c r="C69" s="153"/>
      <c r="D69" s="153"/>
      <c r="E69" s="153"/>
      <c r="F69" s="153"/>
      <c r="G69" s="153"/>
      <c r="H69" s="153"/>
      <c r="I69" s="153"/>
      <c r="J69" s="153"/>
      <c r="K69" s="152">
        <f>K67/(C55*D55*0.000001)</f>
        <v>67.360333333333344</v>
      </c>
      <c r="L69" s="151" t="s">
        <v>97</v>
      </c>
      <c r="M69" s="150">
        <v>0.1</v>
      </c>
      <c r="N69" s="149">
        <f>K69+(K69*M69)</f>
        <v>74.096366666666682</v>
      </c>
      <c r="O69" s="148" t="s">
        <v>97</v>
      </c>
      <c r="P69" s="147"/>
      <c r="Q69" s="146">
        <f>N69*P69</f>
        <v>0</v>
      </c>
    </row>
    <row r="70" spans="2:17" x14ac:dyDescent="0.25">
      <c r="B70" s="154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8"/>
      <c r="N70" s="157"/>
      <c r="O70" s="157"/>
      <c r="P70" s="156"/>
      <c r="Q70" s="155"/>
    </row>
    <row r="71" spans="2:17" x14ac:dyDescent="0.25">
      <c r="B71" s="170" t="s">
        <v>96</v>
      </c>
      <c r="C71" s="167">
        <v>3660</v>
      </c>
      <c r="D71" s="167">
        <v>610</v>
      </c>
      <c r="E71" s="167">
        <v>50</v>
      </c>
      <c r="F71" s="167">
        <v>96</v>
      </c>
      <c r="G71" s="166">
        <v>1</v>
      </c>
      <c r="H71" s="165">
        <v>0.73</v>
      </c>
      <c r="I71" s="165">
        <v>0.6</v>
      </c>
      <c r="J71" s="165">
        <v>0.05</v>
      </c>
      <c r="K71" s="169">
        <f>(G71*H71*I71)</f>
        <v>0.438</v>
      </c>
      <c r="L71" s="168" t="s">
        <v>94</v>
      </c>
      <c r="M71" s="158"/>
      <c r="N71" s="157"/>
      <c r="O71" s="157"/>
      <c r="P71" s="156"/>
      <c r="Q71" s="155"/>
    </row>
    <row r="72" spans="2:17" x14ac:dyDescent="0.25">
      <c r="B72" s="154"/>
      <c r="C72" s="167">
        <v>3660</v>
      </c>
      <c r="D72" s="167">
        <v>610</v>
      </c>
      <c r="E72" s="167">
        <v>50</v>
      </c>
      <c r="F72" s="167">
        <v>96</v>
      </c>
      <c r="G72" s="166">
        <v>1</v>
      </c>
      <c r="H72" s="165">
        <v>4.0999999999999996</v>
      </c>
      <c r="I72" s="165">
        <v>0.6</v>
      </c>
      <c r="J72" s="165">
        <v>0.05</v>
      </c>
      <c r="K72" s="169">
        <f>(G72*H72*I72)</f>
        <v>2.4599999999999995</v>
      </c>
      <c r="L72" s="168" t="s">
        <v>94</v>
      </c>
      <c r="M72" s="158"/>
      <c r="N72" s="157"/>
      <c r="O72" s="157"/>
      <c r="P72" s="156"/>
      <c r="Q72" s="155"/>
    </row>
    <row r="73" spans="2:17" x14ac:dyDescent="0.25">
      <c r="B73" s="154"/>
      <c r="C73" s="167">
        <v>3660</v>
      </c>
      <c r="D73" s="167">
        <v>610</v>
      </c>
      <c r="E73" s="167">
        <v>50</v>
      </c>
      <c r="F73" s="167">
        <v>96</v>
      </c>
      <c r="G73" s="166">
        <v>1</v>
      </c>
      <c r="H73" s="165">
        <f>(0.36+0.61+0.55+0.89+0.66+0.81+0.73)-0.1</f>
        <v>4.5100000000000007</v>
      </c>
      <c r="I73" s="165">
        <v>0.6</v>
      </c>
      <c r="J73" s="165">
        <v>0.05</v>
      </c>
      <c r="K73" s="169">
        <f>(G73*H73*I73)</f>
        <v>2.7060000000000004</v>
      </c>
      <c r="L73" s="168" t="s">
        <v>94</v>
      </c>
      <c r="M73" s="158"/>
      <c r="N73" s="157"/>
      <c r="O73" s="157"/>
      <c r="P73" s="156"/>
      <c r="Q73" s="155"/>
    </row>
    <row r="74" spans="2:17" x14ac:dyDescent="0.25">
      <c r="B74" s="154"/>
      <c r="C74" s="167">
        <v>3660</v>
      </c>
      <c r="D74" s="167">
        <v>610</v>
      </c>
      <c r="E74" s="167">
        <v>50</v>
      </c>
      <c r="F74" s="167">
        <v>96</v>
      </c>
      <c r="G74" s="166">
        <v>1</v>
      </c>
      <c r="H74" s="165">
        <v>3.49</v>
      </c>
      <c r="I74" s="165">
        <v>0.6</v>
      </c>
      <c r="J74" s="165">
        <v>0.05</v>
      </c>
      <c r="K74" s="169">
        <f>(G74*H74*I74)</f>
        <v>2.0939999999999999</v>
      </c>
      <c r="L74" s="168" t="s">
        <v>94</v>
      </c>
      <c r="M74" s="158"/>
      <c r="N74" s="157"/>
      <c r="O74" s="157"/>
      <c r="P74" s="156"/>
      <c r="Q74" s="155"/>
    </row>
    <row r="75" spans="2:17" x14ac:dyDescent="0.25">
      <c r="B75" s="154"/>
      <c r="C75" s="167">
        <v>3660</v>
      </c>
      <c r="D75" s="167">
        <v>610</v>
      </c>
      <c r="E75" s="167">
        <v>50</v>
      </c>
      <c r="F75" s="167">
        <v>96</v>
      </c>
      <c r="G75" s="166">
        <v>2</v>
      </c>
      <c r="H75" s="165">
        <v>5.17</v>
      </c>
      <c r="I75" s="165">
        <v>0.72</v>
      </c>
      <c r="J75" s="165">
        <v>0.05</v>
      </c>
      <c r="K75" s="169">
        <f>(G75*H75*I75)</f>
        <v>7.4447999999999999</v>
      </c>
      <c r="L75" s="168" t="s">
        <v>94</v>
      </c>
      <c r="M75" s="158"/>
      <c r="N75" s="157"/>
      <c r="O75" s="157"/>
      <c r="P75" s="156"/>
      <c r="Q75" s="155"/>
    </row>
    <row r="76" spans="2:17" ht="15.75" thickBot="1" x14ac:dyDescent="0.3">
      <c r="B76" s="154"/>
      <c r="C76" s="167">
        <v>3660</v>
      </c>
      <c r="D76" s="167">
        <v>610</v>
      </c>
      <c r="E76" s="167">
        <v>50</v>
      </c>
      <c r="F76" s="167">
        <v>96</v>
      </c>
      <c r="G76" s="166">
        <v>2</v>
      </c>
      <c r="H76" s="165">
        <v>0.71</v>
      </c>
      <c r="I76" s="165">
        <v>0.72</v>
      </c>
      <c r="J76" s="165">
        <v>0.05</v>
      </c>
      <c r="K76" s="164">
        <f>(G76*H76*I76)</f>
        <v>1.0224</v>
      </c>
      <c r="L76" s="163" t="s">
        <v>94</v>
      </c>
      <c r="M76" s="158"/>
      <c r="N76" s="157"/>
      <c r="O76" s="157"/>
      <c r="P76" s="156"/>
      <c r="Q76" s="155"/>
    </row>
    <row r="77" spans="2:17" ht="15.75" thickTop="1" x14ac:dyDescent="0.25">
      <c r="B77" s="154"/>
      <c r="C77" s="153"/>
      <c r="D77" s="153"/>
      <c r="E77" s="153"/>
      <c r="F77" s="153"/>
      <c r="G77" s="153"/>
      <c r="H77" s="153"/>
      <c r="I77" s="153"/>
      <c r="J77" s="153"/>
      <c r="K77" s="162">
        <f>SUM(K71:K76)</f>
        <v>16.165200000000002</v>
      </c>
      <c r="L77" s="161" t="s">
        <v>94</v>
      </c>
      <c r="M77" s="160"/>
      <c r="N77" s="157"/>
      <c r="O77" s="157"/>
      <c r="P77" s="156"/>
      <c r="Q77" s="155"/>
    </row>
    <row r="78" spans="2:17" x14ac:dyDescent="0.25">
      <c r="B78" s="154"/>
      <c r="C78" s="153"/>
      <c r="D78" s="153"/>
      <c r="E78" s="153"/>
      <c r="F78" s="153"/>
      <c r="G78" s="153"/>
      <c r="H78" s="153"/>
      <c r="I78" s="153"/>
      <c r="J78" s="153"/>
      <c r="K78" s="159">
        <f>K77*E76*0.001</f>
        <v>0.80826000000000009</v>
      </c>
      <c r="L78" s="151" t="s">
        <v>93</v>
      </c>
      <c r="M78" s="158"/>
      <c r="N78" s="157"/>
      <c r="O78" s="157"/>
      <c r="P78" s="156"/>
      <c r="Q78" s="155"/>
    </row>
    <row r="79" spans="2:17" x14ac:dyDescent="0.25">
      <c r="B79" s="154"/>
      <c r="C79" s="153"/>
      <c r="D79" s="153"/>
      <c r="E79" s="153"/>
      <c r="F79" s="153"/>
      <c r="G79" s="153"/>
      <c r="H79" s="153"/>
      <c r="I79" s="153"/>
      <c r="J79" s="153"/>
      <c r="K79" s="152">
        <f>K77/(C71*D71*0.000001)</f>
        <v>7.2405267401236246</v>
      </c>
      <c r="L79" s="151" t="s">
        <v>92</v>
      </c>
      <c r="M79" s="150">
        <v>0.1</v>
      </c>
      <c r="N79" s="149">
        <f>K79+(K79*M79)</f>
        <v>7.9645794141359874</v>
      </c>
      <c r="O79" s="148" t="s">
        <v>92</v>
      </c>
      <c r="P79" s="147"/>
      <c r="Q79" s="146">
        <f>N79*P79</f>
        <v>0</v>
      </c>
    </row>
    <row r="80" spans="2:17" x14ac:dyDescent="0.25">
      <c r="B80" s="154"/>
      <c r="C80" s="171"/>
      <c r="D80" s="171"/>
      <c r="E80" s="171"/>
      <c r="F80" s="171"/>
      <c r="G80" s="153"/>
      <c r="H80" s="153"/>
      <c r="I80" s="153"/>
      <c r="J80" s="153"/>
      <c r="K80" s="171"/>
      <c r="L80" s="171"/>
      <c r="M80" s="158"/>
      <c r="N80" s="157"/>
      <c r="O80" s="157"/>
      <c r="P80" s="156"/>
      <c r="Q80" s="155"/>
    </row>
    <row r="81" spans="2:17" x14ac:dyDescent="0.25">
      <c r="B81" s="170" t="s">
        <v>95</v>
      </c>
      <c r="C81" s="167">
        <v>7320</v>
      </c>
      <c r="D81" s="167">
        <v>610</v>
      </c>
      <c r="E81" s="167">
        <v>25</v>
      </c>
      <c r="F81" s="167">
        <v>128</v>
      </c>
      <c r="G81" s="166">
        <v>1</v>
      </c>
      <c r="H81" s="165">
        <v>0.65500000000000003</v>
      </c>
      <c r="I81" s="165">
        <v>0.52500000000000002</v>
      </c>
      <c r="J81" s="165">
        <v>2.5000000000000001E-2</v>
      </c>
      <c r="K81" s="169">
        <f>(G81*H81*I81)</f>
        <v>0.34387500000000004</v>
      </c>
      <c r="L81" s="168" t="s">
        <v>94</v>
      </c>
      <c r="M81" s="158"/>
      <c r="N81" s="157"/>
      <c r="O81" s="157"/>
      <c r="P81" s="156"/>
      <c r="Q81" s="155"/>
    </row>
    <row r="82" spans="2:17" x14ac:dyDescent="0.25">
      <c r="B82" s="154"/>
      <c r="C82" s="167">
        <v>7320</v>
      </c>
      <c r="D82" s="167">
        <v>610</v>
      </c>
      <c r="E82" s="167">
        <v>25</v>
      </c>
      <c r="F82" s="167">
        <v>128</v>
      </c>
      <c r="G82" s="166">
        <v>1</v>
      </c>
      <c r="H82" s="165">
        <v>4.05</v>
      </c>
      <c r="I82" s="165">
        <v>0.52500000000000002</v>
      </c>
      <c r="J82" s="165">
        <v>2.5000000000000001E-2</v>
      </c>
      <c r="K82" s="169">
        <f>(G82*H82*I82)</f>
        <v>2.1262500000000002</v>
      </c>
      <c r="L82" s="168" t="s">
        <v>94</v>
      </c>
      <c r="M82" s="158"/>
      <c r="N82" s="157"/>
      <c r="O82" s="157"/>
      <c r="P82" s="156"/>
      <c r="Q82" s="155"/>
    </row>
    <row r="83" spans="2:17" x14ac:dyDescent="0.25">
      <c r="B83" s="154"/>
      <c r="C83" s="167">
        <v>7320</v>
      </c>
      <c r="D83" s="167">
        <v>610</v>
      </c>
      <c r="E83" s="167">
        <v>25</v>
      </c>
      <c r="F83" s="167">
        <v>128</v>
      </c>
      <c r="G83" s="166">
        <v>1</v>
      </c>
      <c r="H83" s="165">
        <f>(0.36+0.61+0.55+0.89+0.66+0.81+0.73)</f>
        <v>4.6100000000000003</v>
      </c>
      <c r="I83" s="165">
        <v>0.52500000000000002</v>
      </c>
      <c r="J83" s="165">
        <v>2.5000000000000001E-2</v>
      </c>
      <c r="K83" s="169">
        <f>(G83*H83*I83)</f>
        <v>2.4202500000000002</v>
      </c>
      <c r="L83" s="168" t="s">
        <v>94</v>
      </c>
      <c r="M83" s="158"/>
      <c r="N83" s="157"/>
      <c r="O83" s="157"/>
      <c r="P83" s="156"/>
      <c r="Q83" s="155"/>
    </row>
    <row r="84" spans="2:17" x14ac:dyDescent="0.25">
      <c r="B84" s="154"/>
      <c r="C84" s="167">
        <v>7320</v>
      </c>
      <c r="D84" s="167">
        <v>610</v>
      </c>
      <c r="E84" s="167">
        <v>25</v>
      </c>
      <c r="F84" s="167">
        <v>128</v>
      </c>
      <c r="G84" s="166">
        <v>1</v>
      </c>
      <c r="H84" s="165">
        <v>3.4649999999999999</v>
      </c>
      <c r="I84" s="165">
        <v>0.52500000000000002</v>
      </c>
      <c r="J84" s="165">
        <v>2.5000000000000001E-2</v>
      </c>
      <c r="K84" s="169">
        <f>(G84*H84*I84)</f>
        <v>1.8191250000000001</v>
      </c>
      <c r="L84" s="168" t="s">
        <v>94</v>
      </c>
      <c r="M84" s="158"/>
      <c r="N84" s="157"/>
      <c r="O84" s="157"/>
      <c r="P84" s="156"/>
      <c r="Q84" s="155"/>
    </row>
    <row r="85" spans="2:17" x14ac:dyDescent="0.25">
      <c r="B85" s="154"/>
      <c r="C85" s="167">
        <v>7320</v>
      </c>
      <c r="D85" s="167">
        <v>610</v>
      </c>
      <c r="E85" s="167">
        <v>25</v>
      </c>
      <c r="F85" s="167">
        <v>128</v>
      </c>
      <c r="G85" s="166">
        <v>2</v>
      </c>
      <c r="H85" s="165">
        <v>5.1449999999999996</v>
      </c>
      <c r="I85" s="165">
        <v>0.64500000000000002</v>
      </c>
      <c r="J85" s="165">
        <v>2.5000000000000001E-2</v>
      </c>
      <c r="K85" s="169">
        <f>(G85*H85*I85)</f>
        <v>6.6370499999999995</v>
      </c>
      <c r="L85" s="168" t="s">
        <v>94</v>
      </c>
      <c r="M85" s="158"/>
      <c r="N85" s="157"/>
      <c r="O85" s="157"/>
      <c r="P85" s="156"/>
      <c r="Q85" s="155"/>
    </row>
    <row r="86" spans="2:17" ht="15.75" thickBot="1" x14ac:dyDescent="0.3">
      <c r="B86" s="154"/>
      <c r="C86" s="167">
        <v>7320</v>
      </c>
      <c r="D86" s="167">
        <v>610</v>
      </c>
      <c r="E86" s="167">
        <v>25</v>
      </c>
      <c r="F86" s="167">
        <v>128</v>
      </c>
      <c r="G86" s="166">
        <v>2</v>
      </c>
      <c r="H86" s="165">
        <v>0.58499999999999996</v>
      </c>
      <c r="I86" s="165">
        <v>0.64500000000000002</v>
      </c>
      <c r="J86" s="165">
        <v>2.5000000000000001E-2</v>
      </c>
      <c r="K86" s="164">
        <f>(G86*H86*I86)</f>
        <v>0.75464999999999993</v>
      </c>
      <c r="L86" s="163" t="s">
        <v>94</v>
      </c>
      <c r="M86" s="158"/>
      <c r="N86" s="157"/>
      <c r="O86" s="157"/>
      <c r="P86" s="156"/>
      <c r="Q86" s="155"/>
    </row>
    <row r="87" spans="2:17" ht="15.75" thickTop="1" x14ac:dyDescent="0.25">
      <c r="B87" s="154"/>
      <c r="C87" s="153"/>
      <c r="D87" s="153"/>
      <c r="E87" s="153"/>
      <c r="F87" s="153"/>
      <c r="G87" s="153"/>
      <c r="H87" s="153"/>
      <c r="I87" s="153"/>
      <c r="J87" s="153"/>
      <c r="K87" s="162">
        <f>SUM(K81:K86)</f>
        <v>14.1012</v>
      </c>
      <c r="L87" s="161" t="s">
        <v>94</v>
      </c>
      <c r="M87" s="160"/>
      <c r="N87" s="157"/>
      <c r="O87" s="157"/>
      <c r="P87" s="156"/>
      <c r="Q87" s="155"/>
    </row>
    <row r="88" spans="2:17" x14ac:dyDescent="0.25">
      <c r="B88" s="154"/>
      <c r="C88" s="153"/>
      <c r="D88" s="153"/>
      <c r="E88" s="153"/>
      <c r="F88" s="153"/>
      <c r="G88" s="153"/>
      <c r="H88" s="153"/>
      <c r="I88" s="153"/>
      <c r="J88" s="153"/>
      <c r="K88" s="159">
        <f>K87*E86*0.001</f>
        <v>0.35253000000000001</v>
      </c>
      <c r="L88" s="151" t="s">
        <v>93</v>
      </c>
      <c r="M88" s="158"/>
      <c r="N88" s="157"/>
      <c r="O88" s="157"/>
      <c r="P88" s="156"/>
      <c r="Q88" s="155"/>
    </row>
    <row r="89" spans="2:17" x14ac:dyDescent="0.25">
      <c r="B89" s="154"/>
      <c r="C89" s="153"/>
      <c r="D89" s="153"/>
      <c r="E89" s="153"/>
      <c r="F89" s="153"/>
      <c r="G89" s="153"/>
      <c r="H89" s="153"/>
      <c r="I89" s="153"/>
      <c r="J89" s="153"/>
      <c r="K89" s="152">
        <f>K87/(C81*D81*0.000001)</f>
        <v>3.1580220370868051</v>
      </c>
      <c r="L89" s="151" t="s">
        <v>92</v>
      </c>
      <c r="M89" s="150">
        <v>0.1</v>
      </c>
      <c r="N89" s="149">
        <f>K89+(K89*M89)</f>
        <v>3.4738242407954854</v>
      </c>
      <c r="O89" s="148" t="s">
        <v>92</v>
      </c>
      <c r="P89" s="147"/>
      <c r="Q89" s="146">
        <f>N89*P89</f>
        <v>0</v>
      </c>
    </row>
    <row r="90" spans="2:17" x14ac:dyDescent="0.25">
      <c r="B90" s="154"/>
      <c r="C90" s="171"/>
      <c r="D90" s="171"/>
      <c r="E90" s="171"/>
      <c r="F90" s="171"/>
      <c r="G90" s="153"/>
      <c r="H90" s="153"/>
      <c r="I90" s="153"/>
      <c r="J90" s="153"/>
      <c r="K90" s="171"/>
      <c r="L90" s="171"/>
      <c r="M90" s="158"/>
      <c r="N90" s="157"/>
      <c r="O90" s="157"/>
      <c r="P90" s="156"/>
      <c r="Q90" s="155"/>
    </row>
    <row r="91" spans="2:17" x14ac:dyDescent="0.25">
      <c r="B91" s="170" t="s">
        <v>95</v>
      </c>
      <c r="C91" s="167">
        <v>7320</v>
      </c>
      <c r="D91" s="167">
        <v>610</v>
      </c>
      <c r="E91" s="167">
        <v>25</v>
      </c>
      <c r="F91" s="167">
        <v>128</v>
      </c>
      <c r="G91" s="166">
        <v>1</v>
      </c>
      <c r="H91" s="165">
        <v>0.63</v>
      </c>
      <c r="I91" s="165">
        <v>0.47499999999999998</v>
      </c>
      <c r="J91" s="165">
        <v>2.5000000000000001E-2</v>
      </c>
      <c r="K91" s="169">
        <f>(G91*H91*I91)</f>
        <v>0.29924999999999996</v>
      </c>
      <c r="L91" s="168" t="s">
        <v>94</v>
      </c>
      <c r="M91" s="158"/>
      <c r="N91" s="157"/>
      <c r="O91" s="157"/>
      <c r="P91" s="156"/>
      <c r="Q91" s="155"/>
    </row>
    <row r="92" spans="2:17" x14ac:dyDescent="0.25">
      <c r="B92" s="154"/>
      <c r="C92" s="167">
        <v>7320</v>
      </c>
      <c r="D92" s="167">
        <v>610</v>
      </c>
      <c r="E92" s="167">
        <v>25</v>
      </c>
      <c r="F92" s="167">
        <v>128</v>
      </c>
      <c r="G92" s="166">
        <v>1</v>
      </c>
      <c r="H92" s="165">
        <v>4.0250000000000004</v>
      </c>
      <c r="I92" s="165">
        <v>0.47499999999999998</v>
      </c>
      <c r="J92" s="165">
        <v>2.5000000000000001E-2</v>
      </c>
      <c r="K92" s="169">
        <f>(G92*H92*I92)</f>
        <v>1.911875</v>
      </c>
      <c r="L92" s="168" t="s">
        <v>94</v>
      </c>
      <c r="M92" s="158"/>
      <c r="N92" s="157"/>
      <c r="O92" s="157"/>
      <c r="P92" s="156"/>
      <c r="Q92" s="155"/>
    </row>
    <row r="93" spans="2:17" x14ac:dyDescent="0.25">
      <c r="B93" s="154"/>
      <c r="C93" s="167">
        <v>7320</v>
      </c>
      <c r="D93" s="167">
        <v>610</v>
      </c>
      <c r="E93" s="167">
        <v>25</v>
      </c>
      <c r="F93" s="167">
        <v>128</v>
      </c>
      <c r="G93" s="166">
        <v>1</v>
      </c>
      <c r="H93" s="165">
        <f>(0.36+0.61+0.55+0.89+0.66+0.81+0.73)</f>
        <v>4.6100000000000003</v>
      </c>
      <c r="I93" s="165">
        <v>0.47499999999999998</v>
      </c>
      <c r="J93" s="165">
        <v>2.5000000000000001E-2</v>
      </c>
      <c r="K93" s="169">
        <f>(G93*H93*I93)</f>
        <v>2.1897500000000001</v>
      </c>
      <c r="L93" s="168" t="s">
        <v>94</v>
      </c>
      <c r="M93" s="158"/>
      <c r="N93" s="157"/>
      <c r="O93" s="157"/>
      <c r="P93" s="156"/>
      <c r="Q93" s="155"/>
    </row>
    <row r="94" spans="2:17" x14ac:dyDescent="0.25">
      <c r="B94" s="154"/>
      <c r="C94" s="167">
        <v>7320</v>
      </c>
      <c r="D94" s="167">
        <v>610</v>
      </c>
      <c r="E94" s="167">
        <v>25</v>
      </c>
      <c r="F94" s="167">
        <v>128</v>
      </c>
      <c r="G94" s="166">
        <v>1</v>
      </c>
      <c r="H94" s="165">
        <v>3.44</v>
      </c>
      <c r="I94" s="165">
        <v>0.47499999999999998</v>
      </c>
      <c r="J94" s="165">
        <v>2.5000000000000001E-2</v>
      </c>
      <c r="K94" s="169">
        <f>(G94*H94*I94)</f>
        <v>1.6339999999999999</v>
      </c>
      <c r="L94" s="168" t="s">
        <v>94</v>
      </c>
      <c r="M94" s="158"/>
      <c r="N94" s="157"/>
      <c r="O94" s="157"/>
      <c r="P94" s="156"/>
      <c r="Q94" s="155"/>
    </row>
    <row r="95" spans="2:17" x14ac:dyDescent="0.25">
      <c r="B95" s="154"/>
      <c r="C95" s="167">
        <v>7320</v>
      </c>
      <c r="D95" s="167">
        <v>610</v>
      </c>
      <c r="E95" s="167">
        <v>25</v>
      </c>
      <c r="F95" s="167">
        <v>128</v>
      </c>
      <c r="G95" s="166">
        <v>2</v>
      </c>
      <c r="H95" s="165">
        <v>5.12</v>
      </c>
      <c r="I95" s="165">
        <v>0.58499999999999996</v>
      </c>
      <c r="J95" s="165">
        <v>2.5000000000000001E-2</v>
      </c>
      <c r="K95" s="169">
        <f>(G95*H95*I95)</f>
        <v>5.9904000000000002</v>
      </c>
      <c r="L95" s="168" t="s">
        <v>94</v>
      </c>
      <c r="M95" s="158"/>
      <c r="N95" s="157"/>
      <c r="O95" s="157"/>
      <c r="P95" s="156"/>
      <c r="Q95" s="155"/>
    </row>
    <row r="96" spans="2:17" ht="15.75" thickBot="1" x14ac:dyDescent="0.3">
      <c r="B96" s="154"/>
      <c r="C96" s="167">
        <v>7320</v>
      </c>
      <c r="D96" s="167">
        <v>610</v>
      </c>
      <c r="E96" s="167">
        <v>25</v>
      </c>
      <c r="F96" s="167">
        <v>128</v>
      </c>
      <c r="G96" s="166">
        <v>1</v>
      </c>
      <c r="H96" s="165">
        <v>0.68500000000000005</v>
      </c>
      <c r="I96" s="165">
        <v>0.58499999999999996</v>
      </c>
      <c r="J96" s="165">
        <v>2.5000000000000001E-2</v>
      </c>
      <c r="K96" s="164">
        <f>(G96*H96*I96)</f>
        <v>0.400725</v>
      </c>
      <c r="L96" s="163" t="s">
        <v>94</v>
      </c>
      <c r="M96" s="158"/>
      <c r="N96" s="157"/>
      <c r="O96" s="157"/>
      <c r="P96" s="156"/>
      <c r="Q96" s="155"/>
    </row>
    <row r="97" spans="2:17" ht="15.75" thickTop="1" x14ac:dyDescent="0.25">
      <c r="B97" s="154"/>
      <c r="C97" s="153"/>
      <c r="D97" s="153"/>
      <c r="E97" s="153"/>
      <c r="F97" s="153"/>
      <c r="G97" s="153"/>
      <c r="H97" s="153"/>
      <c r="I97" s="153"/>
      <c r="J97" s="153"/>
      <c r="K97" s="162">
        <f>SUM(K91:K96)</f>
        <v>12.426</v>
      </c>
      <c r="L97" s="161" t="s">
        <v>94</v>
      </c>
      <c r="M97" s="160"/>
      <c r="N97" s="157"/>
      <c r="O97" s="157"/>
      <c r="P97" s="156"/>
      <c r="Q97" s="155"/>
    </row>
    <row r="98" spans="2:17" x14ac:dyDescent="0.25">
      <c r="B98" s="154"/>
      <c r="C98" s="153"/>
      <c r="D98" s="153"/>
      <c r="E98" s="153"/>
      <c r="F98" s="153"/>
      <c r="G98" s="153"/>
      <c r="H98" s="153"/>
      <c r="I98" s="153"/>
      <c r="J98" s="153"/>
      <c r="K98" s="159">
        <f>K97*E96*0.001</f>
        <v>0.31064999999999998</v>
      </c>
      <c r="L98" s="151" t="s">
        <v>93</v>
      </c>
      <c r="M98" s="158"/>
      <c r="N98" s="157"/>
      <c r="O98" s="157"/>
      <c r="P98" s="156"/>
      <c r="Q98" s="155"/>
    </row>
    <row r="99" spans="2:17" x14ac:dyDescent="0.25">
      <c r="B99" s="154"/>
      <c r="C99" s="153"/>
      <c r="D99" s="153"/>
      <c r="E99" s="153"/>
      <c r="F99" s="153"/>
      <c r="G99" s="153"/>
      <c r="H99" s="153"/>
      <c r="I99" s="153"/>
      <c r="J99" s="153"/>
      <c r="K99" s="152">
        <f>K97/(C91*D91*0.000001)</f>
        <v>2.78285407148616</v>
      </c>
      <c r="L99" s="151" t="s">
        <v>92</v>
      </c>
      <c r="M99" s="150">
        <v>0.35</v>
      </c>
      <c r="N99" s="149">
        <f>K99+(K99*M99)</f>
        <v>3.756852996506316</v>
      </c>
      <c r="O99" s="148" t="s">
        <v>92</v>
      </c>
      <c r="P99" s="147"/>
      <c r="Q99" s="146">
        <f>N99*P99</f>
        <v>0</v>
      </c>
    </row>
    <row r="100" spans="2:17" x14ac:dyDescent="0.25">
      <c r="B100" s="145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3"/>
      <c r="N100" s="142"/>
      <c r="O100" s="142"/>
      <c r="P100" s="141"/>
      <c r="Q100" s="140"/>
    </row>
  </sheetData>
  <mergeCells count="16">
    <mergeCell ref="B1:Q1"/>
    <mergeCell ref="B2:F2"/>
    <mergeCell ref="G2:J2"/>
    <mergeCell ref="K2:L3"/>
    <mergeCell ref="M2:M3"/>
    <mergeCell ref="N2:O3"/>
    <mergeCell ref="P2:P3"/>
    <mergeCell ref="Q2:Q3"/>
    <mergeCell ref="B51:Q51"/>
    <mergeCell ref="B52:F52"/>
    <mergeCell ref="G52:J52"/>
    <mergeCell ref="K52:L53"/>
    <mergeCell ref="M52:M53"/>
    <mergeCell ref="N52:O53"/>
    <mergeCell ref="P52:P53"/>
    <mergeCell ref="Q52:Q53"/>
  </mergeCells>
  <printOptions horizontalCentered="1" verticalCentered="1"/>
  <pageMargins left="0.19685039370078741" right="0.19685039370078741" top="0.78740157480314965" bottom="0.3937007874015748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topLeftCell="C60" zoomScale="85" zoomScaleNormal="85" workbookViewId="0">
      <selection activeCell="M35" sqref="M35"/>
    </sheetView>
  </sheetViews>
  <sheetFormatPr defaultRowHeight="15" x14ac:dyDescent="0.25"/>
  <cols>
    <col min="1" max="1" width="12.5703125" customWidth="1"/>
    <col min="2" max="2" width="17.42578125" customWidth="1"/>
    <col min="3" max="9" width="7.7109375" customWidth="1"/>
    <col min="10" max="10" width="8.28515625" customWidth="1"/>
    <col min="11" max="11" width="9.5703125" customWidth="1"/>
    <col min="12" max="12" width="8.85546875" customWidth="1"/>
    <col min="13" max="13" width="10" customWidth="1"/>
    <col min="14" max="14" width="8.7109375" customWidth="1"/>
    <col min="15" max="15" width="9.7109375" customWidth="1"/>
    <col min="17" max="17" width="12" customWidth="1"/>
    <col min="18" max="18" width="17.42578125" customWidth="1"/>
    <col min="19" max="21" width="9.7109375" customWidth="1"/>
    <col min="22" max="23" width="9.28515625" customWidth="1"/>
    <col min="24" max="24" width="8.28515625" customWidth="1"/>
  </cols>
  <sheetData>
    <row r="1" spans="1:24" s="227" customFormat="1" ht="18.75" x14ac:dyDescent="0.2">
      <c r="A1" s="304" t="s">
        <v>170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8"/>
      <c r="Q1" s="303" t="s">
        <v>170</v>
      </c>
      <c r="R1" s="302"/>
      <c r="S1" s="302"/>
      <c r="T1" s="302"/>
      <c r="U1" s="302"/>
      <c r="V1" s="302"/>
      <c r="W1" s="302"/>
      <c r="X1" s="301"/>
    </row>
    <row r="2" spans="1:24" s="227" customFormat="1" ht="15" customHeight="1" x14ac:dyDescent="0.2">
      <c r="A2" s="298" t="s">
        <v>165</v>
      </c>
      <c r="B2" s="297"/>
      <c r="C2" s="296" t="s">
        <v>169</v>
      </c>
      <c r="D2" s="295"/>
      <c r="E2" s="294"/>
      <c r="F2" s="296" t="s">
        <v>168</v>
      </c>
      <c r="G2" s="295"/>
      <c r="H2" s="295"/>
      <c r="I2" s="294"/>
      <c r="J2" s="299" t="s">
        <v>94</v>
      </c>
      <c r="K2" s="299" t="s">
        <v>167</v>
      </c>
      <c r="L2" s="299" t="s">
        <v>93</v>
      </c>
      <c r="M2" s="299" t="s">
        <v>16</v>
      </c>
      <c r="N2" s="300" t="s">
        <v>166</v>
      </c>
      <c r="O2" s="299" t="s">
        <v>109</v>
      </c>
      <c r="Q2" s="298" t="s">
        <v>165</v>
      </c>
      <c r="R2" s="297"/>
      <c r="S2" s="296" t="s">
        <v>164</v>
      </c>
      <c r="T2" s="295"/>
      <c r="U2" s="294"/>
      <c r="V2" s="293" t="s">
        <v>163</v>
      </c>
      <c r="W2" s="293" t="s">
        <v>162</v>
      </c>
      <c r="X2" s="292" t="s">
        <v>161</v>
      </c>
    </row>
    <row r="3" spans="1:24" s="227" customFormat="1" x14ac:dyDescent="0.2">
      <c r="A3" s="290"/>
      <c r="B3" s="289"/>
      <c r="C3" s="288" t="s">
        <v>156</v>
      </c>
      <c r="D3" s="288" t="s">
        <v>155</v>
      </c>
      <c r="E3" s="288" t="s">
        <v>154</v>
      </c>
      <c r="F3" s="288" t="s">
        <v>160</v>
      </c>
      <c r="G3" s="288" t="s">
        <v>159</v>
      </c>
      <c r="H3" s="288" t="s">
        <v>158</v>
      </c>
      <c r="I3" s="288" t="s">
        <v>157</v>
      </c>
      <c r="J3" s="291"/>
      <c r="K3" s="291"/>
      <c r="L3" s="291"/>
      <c r="M3" s="291"/>
      <c r="N3" s="291"/>
      <c r="O3" s="291"/>
      <c r="Q3" s="290"/>
      <c r="R3" s="289"/>
      <c r="S3" s="288" t="s">
        <v>156</v>
      </c>
      <c r="T3" s="288" t="s">
        <v>155</v>
      </c>
      <c r="U3" s="288" t="s">
        <v>154</v>
      </c>
      <c r="V3" s="177"/>
      <c r="W3" s="177"/>
      <c r="X3" s="175"/>
    </row>
    <row r="4" spans="1:24" s="227" customFormat="1" ht="12" customHeight="1" x14ac:dyDescent="0.25">
      <c r="A4" s="223"/>
      <c r="B4" s="222"/>
      <c r="C4" s="221"/>
      <c r="D4" s="220"/>
      <c r="E4" s="219"/>
      <c r="F4" s="215"/>
      <c r="G4" s="240"/>
      <c r="H4" s="278"/>
      <c r="I4" s="239"/>
      <c r="J4" s="215"/>
      <c r="K4" s="287"/>
      <c r="L4" s="213"/>
      <c r="M4" s="243"/>
      <c r="N4" s="211"/>
      <c r="O4" s="236"/>
      <c r="Q4" s="286"/>
      <c r="R4" s="285"/>
      <c r="S4" s="284"/>
      <c r="T4" s="283"/>
      <c r="U4" s="282"/>
      <c r="V4" s="281"/>
      <c r="W4" s="280"/>
      <c r="X4" s="279"/>
    </row>
    <row r="5" spans="1:24" s="227" customFormat="1" ht="12" customHeight="1" x14ac:dyDescent="0.2">
      <c r="A5" s="225" t="s">
        <v>153</v>
      </c>
      <c r="B5" s="224"/>
      <c r="C5" s="221"/>
      <c r="D5" s="220"/>
      <c r="E5" s="219"/>
      <c r="F5" s="215"/>
      <c r="G5" s="240"/>
      <c r="H5" s="278"/>
      <c r="I5" s="239"/>
      <c r="J5" s="215"/>
      <c r="K5" s="214"/>
      <c r="L5" s="213"/>
      <c r="M5" s="212"/>
      <c r="N5" s="211"/>
      <c r="O5" s="210"/>
      <c r="Q5" s="271" t="s">
        <v>39</v>
      </c>
      <c r="R5" s="233" t="s">
        <v>149</v>
      </c>
      <c r="S5" s="221">
        <v>1000</v>
      </c>
      <c r="T5" s="220">
        <v>500</v>
      </c>
      <c r="U5" s="219">
        <v>30</v>
      </c>
      <c r="V5" s="270">
        <f>K35</f>
        <v>77.620416000000006</v>
      </c>
      <c r="W5" s="269" t="s">
        <v>25</v>
      </c>
      <c r="X5" s="268">
        <f>N5</f>
        <v>0</v>
      </c>
    </row>
    <row r="6" spans="1:24" s="227" customFormat="1" ht="12" customHeight="1" x14ac:dyDescent="0.2">
      <c r="A6" s="223"/>
      <c r="B6" s="222"/>
      <c r="C6" s="221"/>
      <c r="D6" s="220"/>
      <c r="E6" s="219"/>
      <c r="F6" s="215"/>
      <c r="G6" s="240"/>
      <c r="H6" s="278"/>
      <c r="I6" s="239"/>
      <c r="J6" s="215"/>
      <c r="K6" s="214"/>
      <c r="L6" s="213"/>
      <c r="M6" s="212"/>
      <c r="N6" s="211"/>
      <c r="O6" s="210"/>
      <c r="Q6" s="223"/>
      <c r="R6" s="222"/>
      <c r="S6" s="221"/>
      <c r="T6" s="220"/>
      <c r="U6" s="219"/>
      <c r="V6" s="267"/>
      <c r="W6" s="266"/>
      <c r="X6" s="265"/>
    </row>
    <row r="7" spans="1:24" s="227" customFormat="1" ht="12" customHeight="1" x14ac:dyDescent="0.2">
      <c r="A7" s="223" t="s">
        <v>17</v>
      </c>
      <c r="B7" s="222" t="s">
        <v>139</v>
      </c>
      <c r="C7" s="221">
        <v>220</v>
      </c>
      <c r="D7" s="220">
        <v>110</v>
      </c>
      <c r="E7" s="219">
        <v>60</v>
      </c>
      <c r="F7" s="218">
        <v>6.1</v>
      </c>
      <c r="G7" s="213">
        <v>3.61</v>
      </c>
      <c r="H7" s="217"/>
      <c r="I7" s="232">
        <v>0.11</v>
      </c>
      <c r="J7" s="215"/>
      <c r="K7" s="214">
        <f>L7/((C7*D7*E7)/1000000000)</f>
        <v>1668.2575757575755</v>
      </c>
      <c r="L7" s="213">
        <f>F7*G7*I7</f>
        <v>2.4223099999999995</v>
      </c>
      <c r="M7" s="212"/>
      <c r="N7" s="211"/>
      <c r="O7" s="210"/>
      <c r="Q7" s="223" t="s">
        <v>39</v>
      </c>
      <c r="R7" s="222" t="s">
        <v>138</v>
      </c>
      <c r="S7" s="221">
        <v>1200</v>
      </c>
      <c r="T7" s="220">
        <v>1000</v>
      </c>
      <c r="U7" s="238">
        <v>30</v>
      </c>
      <c r="V7" s="261">
        <f>K87</f>
        <v>6.6282525000000012</v>
      </c>
      <c r="W7" s="260" t="s">
        <v>25</v>
      </c>
      <c r="X7" s="259">
        <f>N32</f>
        <v>0</v>
      </c>
    </row>
    <row r="8" spans="1:24" s="227" customFormat="1" ht="12" customHeight="1" x14ac:dyDescent="0.2">
      <c r="A8" s="223"/>
      <c r="B8" s="222"/>
      <c r="C8" s="221">
        <v>220</v>
      </c>
      <c r="D8" s="220">
        <v>110</v>
      </c>
      <c r="E8" s="219">
        <v>60</v>
      </c>
      <c r="F8" s="218">
        <v>0.97</v>
      </c>
      <c r="G8" s="213">
        <v>1.56</v>
      </c>
      <c r="H8" s="217"/>
      <c r="I8" s="232">
        <v>0.11</v>
      </c>
      <c r="J8" s="215"/>
      <c r="K8" s="214">
        <f>L8/((C8*D8*E8)/1000000000)</f>
        <v>114.63636363636365</v>
      </c>
      <c r="L8" s="213">
        <f>F8*G8*I8</f>
        <v>0.16645200000000002</v>
      </c>
      <c r="M8" s="212"/>
      <c r="N8" s="211"/>
      <c r="O8" s="210"/>
      <c r="Q8" s="223"/>
      <c r="R8" s="222"/>
      <c r="S8" s="221"/>
      <c r="T8" s="220"/>
      <c r="U8" s="219"/>
      <c r="V8" s="267"/>
      <c r="W8" s="266"/>
      <c r="X8" s="265"/>
    </row>
    <row r="9" spans="1:24" s="227" customFormat="1" ht="12" customHeight="1" x14ac:dyDescent="0.2">
      <c r="A9" s="223"/>
      <c r="B9" s="222"/>
      <c r="C9" s="221">
        <v>220</v>
      </c>
      <c r="D9" s="220">
        <v>110</v>
      </c>
      <c r="E9" s="219">
        <v>60</v>
      </c>
      <c r="F9" s="218">
        <f>(0.78*0.78*3.14)/2</f>
        <v>0.95518800000000015</v>
      </c>
      <c r="G9" s="213"/>
      <c r="H9" s="217"/>
      <c r="I9" s="232">
        <v>0.11</v>
      </c>
      <c r="J9" s="215"/>
      <c r="K9" s="242">
        <f>L9/((C9*D9*E9)/1000000000)</f>
        <v>72.362727272727284</v>
      </c>
      <c r="L9" s="203">
        <f>F9*I9</f>
        <v>0.10507068000000001</v>
      </c>
      <c r="M9" s="212"/>
      <c r="N9" s="211"/>
      <c r="O9" s="210"/>
      <c r="Q9" s="223" t="s">
        <v>39</v>
      </c>
      <c r="R9" s="222" t="s">
        <v>135</v>
      </c>
      <c r="S9" s="221">
        <v>1200</v>
      </c>
      <c r="T9" s="220">
        <v>1000</v>
      </c>
      <c r="U9" s="219">
        <v>25</v>
      </c>
      <c r="V9" s="261">
        <f>K97</f>
        <v>2.4</v>
      </c>
      <c r="W9" s="260" t="s">
        <v>25</v>
      </c>
      <c r="X9" s="259">
        <f>N44</f>
        <v>0</v>
      </c>
    </row>
    <row r="10" spans="1:24" s="227" customFormat="1" ht="12" customHeight="1" x14ac:dyDescent="0.2">
      <c r="A10" s="223"/>
      <c r="B10" s="222"/>
      <c r="C10" s="221"/>
      <c r="D10" s="220"/>
      <c r="E10" s="219"/>
      <c r="F10" s="218"/>
      <c r="G10" s="213"/>
      <c r="H10" s="217"/>
      <c r="I10" s="232"/>
      <c r="J10" s="215"/>
      <c r="K10" s="226">
        <f>SUM(K7:K9)</f>
        <v>1855.2566666666667</v>
      </c>
      <c r="L10" s="230">
        <f>SUM(L7:L9)</f>
        <v>2.6938326799999994</v>
      </c>
      <c r="M10" s="212"/>
      <c r="N10" s="211"/>
      <c r="O10" s="210"/>
      <c r="Q10" s="223"/>
      <c r="R10" s="222"/>
      <c r="S10" s="221"/>
      <c r="T10" s="220"/>
      <c r="U10" s="219"/>
      <c r="V10" s="261"/>
      <c r="W10" s="260"/>
      <c r="X10" s="259"/>
    </row>
    <row r="11" spans="1:24" s="227" customFormat="1" ht="12" customHeight="1" x14ac:dyDescent="0.2">
      <c r="A11" s="277"/>
      <c r="B11" s="276"/>
      <c r="C11" s="221"/>
      <c r="D11" s="220"/>
      <c r="E11" s="219"/>
      <c r="F11" s="218"/>
      <c r="G11" s="213"/>
      <c r="H11" s="217"/>
      <c r="I11" s="216"/>
      <c r="J11" s="215"/>
      <c r="K11" s="214"/>
      <c r="L11" s="213"/>
      <c r="M11" s="212"/>
      <c r="N11" s="211"/>
      <c r="O11" s="210"/>
      <c r="Q11" s="223" t="s">
        <v>17</v>
      </c>
      <c r="R11" s="222" t="s">
        <v>139</v>
      </c>
      <c r="S11" s="221">
        <v>220</v>
      </c>
      <c r="T11" s="220">
        <v>110</v>
      </c>
      <c r="U11" s="219">
        <v>60</v>
      </c>
      <c r="V11" s="270">
        <f>K10+K41+K82</f>
        <v>4639.575757575758</v>
      </c>
      <c r="W11" s="269" t="s">
        <v>25</v>
      </c>
      <c r="X11" s="268">
        <f>N11</f>
        <v>0</v>
      </c>
    </row>
    <row r="12" spans="1:24" s="227" customFormat="1" ht="12" customHeight="1" x14ac:dyDescent="0.2">
      <c r="A12" s="271" t="s">
        <v>17</v>
      </c>
      <c r="B12" s="233" t="s">
        <v>148</v>
      </c>
      <c r="C12" s="221">
        <v>220</v>
      </c>
      <c r="D12" s="220">
        <v>110</v>
      </c>
      <c r="E12" s="219">
        <v>60</v>
      </c>
      <c r="F12" s="218">
        <v>5.5</v>
      </c>
      <c r="G12" s="213">
        <v>3.58</v>
      </c>
      <c r="H12" s="217"/>
      <c r="I12" s="216">
        <v>0.11</v>
      </c>
      <c r="J12" s="215"/>
      <c r="K12" s="214">
        <f>L12/((C12*D12*E12)/1000000000)</f>
        <v>1491.6666666666667</v>
      </c>
      <c r="L12" s="213">
        <f>F12*G12*I12</f>
        <v>2.1659000000000002</v>
      </c>
      <c r="M12" s="212"/>
      <c r="N12" s="211"/>
      <c r="O12" s="210"/>
      <c r="Q12" s="223"/>
      <c r="R12" s="222"/>
      <c r="S12" s="221"/>
      <c r="T12" s="220"/>
      <c r="U12" s="219"/>
      <c r="V12" s="267"/>
      <c r="W12" s="266"/>
      <c r="X12" s="265"/>
    </row>
    <row r="13" spans="1:24" s="227" customFormat="1" ht="12" customHeight="1" x14ac:dyDescent="0.2">
      <c r="A13" s="271"/>
      <c r="B13" s="233"/>
      <c r="C13" s="221">
        <v>220</v>
      </c>
      <c r="D13" s="220">
        <v>110</v>
      </c>
      <c r="E13" s="219">
        <v>60</v>
      </c>
      <c r="F13" s="218">
        <v>0.97</v>
      </c>
      <c r="G13" s="213">
        <v>1.28</v>
      </c>
      <c r="H13" s="217"/>
      <c r="I13" s="216">
        <v>0.11</v>
      </c>
      <c r="J13" s="215"/>
      <c r="K13" s="214">
        <f>L13/((C13*D13*E13)/1000000000)</f>
        <v>94.060606060606062</v>
      </c>
      <c r="L13" s="213">
        <f>F13*G13*I13</f>
        <v>0.136576</v>
      </c>
      <c r="M13" s="212"/>
      <c r="N13" s="211"/>
      <c r="O13" s="210"/>
      <c r="Q13" s="271" t="s">
        <v>17</v>
      </c>
      <c r="R13" s="233" t="s">
        <v>148</v>
      </c>
      <c r="S13" s="221">
        <v>220</v>
      </c>
      <c r="T13" s="220">
        <v>110</v>
      </c>
      <c r="U13" s="219">
        <v>60</v>
      </c>
      <c r="V13" s="261">
        <f>K15+K53</f>
        <v>4200.7242424242431</v>
      </c>
      <c r="W13" s="260" t="s">
        <v>25</v>
      </c>
      <c r="X13" s="259">
        <f>N38</f>
        <v>0</v>
      </c>
    </row>
    <row r="14" spans="1:24" s="227" customFormat="1" ht="12" customHeight="1" x14ac:dyDescent="0.2">
      <c r="A14" s="271"/>
      <c r="B14" s="233"/>
      <c r="C14" s="221">
        <v>220</v>
      </c>
      <c r="D14" s="220">
        <v>110</v>
      </c>
      <c r="E14" s="219">
        <v>60</v>
      </c>
      <c r="F14" s="218">
        <f>(0.64*0.64*3.14)/2</f>
        <v>0.64307200000000009</v>
      </c>
      <c r="G14" s="213"/>
      <c r="H14" s="217"/>
      <c r="I14" s="216">
        <v>0.11</v>
      </c>
      <c r="J14" s="215"/>
      <c r="K14" s="242">
        <f>L14/((C14*D14*E14)/1000000000)</f>
        <v>48.717575757575766</v>
      </c>
      <c r="L14" s="203">
        <f>F14*I14</f>
        <v>7.073792000000001E-2</v>
      </c>
      <c r="M14" s="212"/>
      <c r="N14" s="211"/>
      <c r="O14" s="210"/>
      <c r="Q14" s="223"/>
      <c r="R14" s="222"/>
      <c r="S14" s="221"/>
      <c r="T14" s="220"/>
      <c r="U14" s="219"/>
      <c r="V14" s="267"/>
      <c r="W14" s="266"/>
      <c r="X14" s="265"/>
    </row>
    <row r="15" spans="1:24" s="227" customFormat="1" ht="12" customHeight="1" x14ac:dyDescent="0.2">
      <c r="A15" s="271"/>
      <c r="B15" s="233"/>
      <c r="C15" s="221"/>
      <c r="D15" s="220"/>
      <c r="E15" s="219"/>
      <c r="F15" s="218"/>
      <c r="G15" s="213"/>
      <c r="H15" s="217"/>
      <c r="I15" s="216"/>
      <c r="J15" s="215"/>
      <c r="K15" s="226">
        <f>SUM(K12:K14)</f>
        <v>1634.4448484848485</v>
      </c>
      <c r="L15" s="230">
        <f>SUM(L12:L14)</f>
        <v>2.37321392</v>
      </c>
      <c r="M15" s="212"/>
      <c r="N15" s="211"/>
      <c r="O15" s="210"/>
      <c r="Q15" s="223" t="s">
        <v>17</v>
      </c>
      <c r="R15" s="222" t="s">
        <v>140</v>
      </c>
      <c r="S15" s="221">
        <v>230</v>
      </c>
      <c r="T15" s="220">
        <v>114</v>
      </c>
      <c r="U15" s="219">
        <v>64</v>
      </c>
      <c r="V15" s="261">
        <f>K47+K80</f>
        <v>944.20630202482516</v>
      </c>
      <c r="W15" s="260" t="s">
        <v>25</v>
      </c>
      <c r="X15" s="259">
        <f>N50</f>
        <v>0</v>
      </c>
    </row>
    <row r="16" spans="1:24" s="227" customFormat="1" ht="12" customHeight="1" x14ac:dyDescent="0.2">
      <c r="A16" s="271"/>
      <c r="B16" s="233"/>
      <c r="C16" s="221"/>
      <c r="D16" s="220"/>
      <c r="E16" s="219"/>
      <c r="F16" s="218"/>
      <c r="G16" s="213"/>
      <c r="H16" s="217"/>
      <c r="I16" s="216"/>
      <c r="J16" s="215"/>
      <c r="K16" s="214"/>
      <c r="L16" s="213"/>
      <c r="M16" s="212"/>
      <c r="N16" s="211"/>
      <c r="O16" s="210"/>
      <c r="Q16" s="223"/>
      <c r="R16" s="222"/>
      <c r="S16" s="221"/>
      <c r="T16" s="220"/>
      <c r="U16" s="219"/>
      <c r="V16" s="267"/>
      <c r="W16" s="266"/>
      <c r="X16" s="265"/>
    </row>
    <row r="17" spans="1:24" s="227" customFormat="1" ht="12" customHeight="1" x14ac:dyDescent="0.2">
      <c r="A17" s="271" t="s">
        <v>132</v>
      </c>
      <c r="B17" s="233" t="s">
        <v>152</v>
      </c>
      <c r="C17" s="221">
        <v>2000</v>
      </c>
      <c r="D17" s="220" t="s">
        <v>130</v>
      </c>
      <c r="E17" s="219"/>
      <c r="F17" s="218">
        <v>5.5</v>
      </c>
      <c r="G17" s="213">
        <v>3.58</v>
      </c>
      <c r="H17" s="217"/>
      <c r="I17" s="232">
        <v>7.4999999999999997E-2</v>
      </c>
      <c r="J17" s="215"/>
      <c r="K17" s="214"/>
      <c r="L17" s="213">
        <f>F17*G17*I17</f>
        <v>1.47675</v>
      </c>
      <c r="M17" s="212">
        <f>L17*C17</f>
        <v>2953.5</v>
      </c>
      <c r="N17" s="211"/>
      <c r="O17" s="210"/>
      <c r="Q17" s="223" t="s">
        <v>17</v>
      </c>
      <c r="R17" s="222" t="s">
        <v>143</v>
      </c>
      <c r="S17" s="221">
        <v>220</v>
      </c>
      <c r="T17" s="220">
        <v>110</v>
      </c>
      <c r="U17" s="219">
        <v>60</v>
      </c>
      <c r="V17" s="270">
        <f>K74</f>
        <v>253.09090909090909</v>
      </c>
      <c r="W17" s="269" t="s">
        <v>25</v>
      </c>
      <c r="X17" s="268">
        <f>N17</f>
        <v>0</v>
      </c>
    </row>
    <row r="18" spans="1:24" s="227" customFormat="1" ht="12" customHeight="1" x14ac:dyDescent="0.2">
      <c r="A18" s="271"/>
      <c r="B18" s="233"/>
      <c r="C18" s="221">
        <v>2000</v>
      </c>
      <c r="D18" s="220" t="s">
        <v>130</v>
      </c>
      <c r="E18" s="219"/>
      <c r="F18" s="218">
        <v>0.97</v>
      </c>
      <c r="G18" s="213">
        <v>1.28</v>
      </c>
      <c r="H18" s="217"/>
      <c r="I18" s="232">
        <v>7.4999999999999997E-2</v>
      </c>
      <c r="J18" s="215"/>
      <c r="K18" s="214"/>
      <c r="L18" s="213">
        <f>F18*G18*I18</f>
        <v>9.3119999999999994E-2</v>
      </c>
      <c r="M18" s="212">
        <f>L18*C18</f>
        <v>186.23999999999998</v>
      </c>
      <c r="N18" s="211"/>
      <c r="O18" s="210"/>
      <c r="Q18" s="223"/>
      <c r="R18" s="222"/>
      <c r="S18" s="221"/>
      <c r="T18" s="220"/>
      <c r="U18" s="219"/>
      <c r="V18" s="267"/>
      <c r="W18" s="266"/>
      <c r="X18" s="265"/>
    </row>
    <row r="19" spans="1:24" s="227" customFormat="1" ht="12" customHeight="1" x14ac:dyDescent="0.2">
      <c r="A19" s="271"/>
      <c r="B19" s="233"/>
      <c r="C19" s="221">
        <v>2000</v>
      </c>
      <c r="D19" s="220" t="s">
        <v>130</v>
      </c>
      <c r="E19" s="219"/>
      <c r="F19" s="218">
        <f>(0.53*0.53*3.14)/2</f>
        <v>0.4410130000000001</v>
      </c>
      <c r="G19" s="213"/>
      <c r="H19" s="217"/>
      <c r="I19" s="232">
        <v>7.4999999999999997E-2</v>
      </c>
      <c r="J19" s="215"/>
      <c r="K19" s="214"/>
      <c r="L19" s="203">
        <f>F19*I19</f>
        <v>3.3075975000000007E-2</v>
      </c>
      <c r="M19" s="231">
        <f>L19*C19</f>
        <v>66.151950000000014</v>
      </c>
      <c r="N19" s="211"/>
      <c r="O19" s="210"/>
      <c r="Q19" s="223" t="s">
        <v>144</v>
      </c>
      <c r="R19" s="222" t="s">
        <v>143</v>
      </c>
      <c r="S19" s="221">
        <v>220</v>
      </c>
      <c r="T19" s="220">
        <v>110</v>
      </c>
      <c r="U19" s="246" t="s">
        <v>145</v>
      </c>
      <c r="V19" s="261">
        <f>K76</f>
        <v>303</v>
      </c>
      <c r="W19" s="260" t="s">
        <v>25</v>
      </c>
      <c r="X19" s="259">
        <f>N44</f>
        <v>0</v>
      </c>
    </row>
    <row r="20" spans="1:24" s="227" customFormat="1" ht="12" customHeight="1" x14ac:dyDescent="0.2">
      <c r="A20" s="271"/>
      <c r="B20" s="233"/>
      <c r="C20" s="221"/>
      <c r="D20" s="220"/>
      <c r="E20" s="219"/>
      <c r="F20" s="218"/>
      <c r="G20" s="213"/>
      <c r="H20" s="217"/>
      <c r="I20" s="232"/>
      <c r="J20" s="215"/>
      <c r="K20" s="214"/>
      <c r="L20" s="230">
        <f>SUM(L17:L19)</f>
        <v>1.6029459750000001</v>
      </c>
      <c r="M20" s="229">
        <f>SUM(M17:M19)</f>
        <v>3205.8919499999997</v>
      </c>
      <c r="N20" s="211"/>
      <c r="O20" s="210"/>
      <c r="Q20" s="223"/>
      <c r="R20" s="222"/>
      <c r="S20" s="221"/>
      <c r="T20" s="220"/>
      <c r="U20" s="219"/>
      <c r="V20" s="267"/>
      <c r="W20" s="266"/>
      <c r="X20" s="265"/>
    </row>
    <row r="21" spans="1:24" s="227" customFormat="1" ht="12" customHeight="1" x14ac:dyDescent="0.2">
      <c r="A21" s="271"/>
      <c r="B21" s="233"/>
      <c r="C21" s="221"/>
      <c r="D21" s="220"/>
      <c r="E21" s="219"/>
      <c r="F21" s="218"/>
      <c r="G21" s="213"/>
      <c r="H21" s="217"/>
      <c r="I21" s="216"/>
      <c r="J21" s="215"/>
      <c r="K21" s="214"/>
      <c r="L21" s="213"/>
      <c r="M21" s="212"/>
      <c r="N21" s="211"/>
      <c r="O21" s="210"/>
      <c r="Q21" s="223" t="s">
        <v>144</v>
      </c>
      <c r="R21" s="222" t="s">
        <v>143</v>
      </c>
      <c r="S21" s="221">
        <v>220</v>
      </c>
      <c r="T21" s="220">
        <v>110</v>
      </c>
      <c r="U21" s="246" t="s">
        <v>142</v>
      </c>
      <c r="V21" s="261">
        <f>K78</f>
        <v>182</v>
      </c>
      <c r="W21" s="260" t="s">
        <v>25</v>
      </c>
      <c r="X21" s="259">
        <f>N56</f>
        <v>0</v>
      </c>
    </row>
    <row r="22" spans="1:24" s="227" customFormat="1" ht="12" customHeight="1" x14ac:dyDescent="0.2">
      <c r="A22" s="271" t="s">
        <v>132</v>
      </c>
      <c r="B22" s="233" t="s">
        <v>150</v>
      </c>
      <c r="C22" s="221">
        <v>2950</v>
      </c>
      <c r="D22" s="220" t="s">
        <v>130</v>
      </c>
      <c r="E22" s="219"/>
      <c r="F22" s="273">
        <v>6.06</v>
      </c>
      <c r="G22" s="235">
        <v>2.58</v>
      </c>
      <c r="H22" s="217"/>
      <c r="I22" s="234">
        <v>0.21</v>
      </c>
      <c r="J22" s="215"/>
      <c r="K22" s="214"/>
      <c r="L22" s="213">
        <f>F22*G22*I22</f>
        <v>3.2833079999999999</v>
      </c>
      <c r="M22" s="212">
        <f>L22*C22</f>
        <v>9685.7585999999992</v>
      </c>
      <c r="N22" s="211"/>
      <c r="O22" s="210"/>
      <c r="Q22" s="223"/>
      <c r="R22" s="222"/>
      <c r="S22" s="221"/>
      <c r="T22" s="220"/>
      <c r="U22" s="219"/>
      <c r="V22" s="261"/>
      <c r="W22" s="260"/>
      <c r="X22" s="259"/>
    </row>
    <row r="23" spans="1:24" s="227" customFormat="1" ht="12" customHeight="1" x14ac:dyDescent="0.2">
      <c r="A23" s="271"/>
      <c r="B23" s="233"/>
      <c r="C23" s="221"/>
      <c r="D23" s="220"/>
      <c r="E23" s="219"/>
      <c r="F23" s="273"/>
      <c r="G23" s="235"/>
      <c r="H23" s="217"/>
      <c r="I23" s="234"/>
      <c r="J23" s="215"/>
      <c r="K23" s="214"/>
      <c r="L23" s="213"/>
      <c r="M23" s="212"/>
      <c r="N23" s="211"/>
      <c r="O23" s="210"/>
      <c r="Q23" s="223" t="s">
        <v>132</v>
      </c>
      <c r="R23" s="222" t="s">
        <v>137</v>
      </c>
      <c r="S23" s="264"/>
      <c r="T23" s="263"/>
      <c r="U23" s="262"/>
      <c r="V23" s="270">
        <f>M89</f>
        <v>134.51759999999999</v>
      </c>
      <c r="W23" s="269" t="s">
        <v>16</v>
      </c>
      <c r="X23" s="268">
        <f>N23</f>
        <v>0</v>
      </c>
    </row>
    <row r="24" spans="1:24" s="227" customFormat="1" ht="12" customHeight="1" x14ac:dyDescent="0.2">
      <c r="A24" s="271" t="s">
        <v>132</v>
      </c>
      <c r="B24" s="233" t="s">
        <v>133</v>
      </c>
      <c r="C24" s="221">
        <v>2600</v>
      </c>
      <c r="D24" s="220" t="s">
        <v>130</v>
      </c>
      <c r="E24" s="219"/>
      <c r="F24" s="273">
        <v>0.62</v>
      </c>
      <c r="G24" s="235">
        <v>1.49</v>
      </c>
      <c r="H24" s="217"/>
      <c r="I24" s="234">
        <v>0.16</v>
      </c>
      <c r="J24" s="215"/>
      <c r="K24" s="214"/>
      <c r="L24" s="213">
        <f>F24*G24*I24</f>
        <v>0.14780799999999999</v>
      </c>
      <c r="M24" s="212">
        <f>L24*C24</f>
        <v>384.30079999999998</v>
      </c>
      <c r="N24" s="211"/>
      <c r="O24" s="210"/>
      <c r="Q24" s="223"/>
      <c r="R24" s="222"/>
      <c r="S24" s="221"/>
      <c r="T24" s="220"/>
      <c r="U24" s="219"/>
      <c r="V24" s="267"/>
      <c r="W24" s="266"/>
      <c r="X24" s="265"/>
    </row>
    <row r="25" spans="1:24" s="227" customFormat="1" ht="12" customHeight="1" x14ac:dyDescent="0.2">
      <c r="A25" s="271"/>
      <c r="B25" s="233"/>
      <c r="C25" s="221">
        <v>2600</v>
      </c>
      <c r="D25" s="220" t="s">
        <v>130</v>
      </c>
      <c r="E25" s="219"/>
      <c r="F25" s="218">
        <f>(0.306*0.306*3.14)/2</f>
        <v>0.14700852</v>
      </c>
      <c r="G25" s="235"/>
      <c r="H25" s="217"/>
      <c r="I25" s="234">
        <v>0.16</v>
      </c>
      <c r="J25" s="215"/>
      <c r="K25" s="214"/>
      <c r="L25" s="203">
        <f>F25*I25</f>
        <v>2.3521363200000003E-2</v>
      </c>
      <c r="M25" s="231">
        <f>L25*C25</f>
        <v>61.155544320000004</v>
      </c>
      <c r="N25" s="211"/>
      <c r="O25" s="210"/>
      <c r="Q25" s="223" t="s">
        <v>132</v>
      </c>
      <c r="R25" s="222" t="s">
        <v>131</v>
      </c>
      <c r="S25" s="221"/>
      <c r="T25" s="220"/>
      <c r="U25" s="219"/>
      <c r="V25" s="261">
        <f>M105</f>
        <v>1620.1680000000001</v>
      </c>
      <c r="W25" s="260" t="s">
        <v>16</v>
      </c>
      <c r="X25" s="259">
        <f>N50</f>
        <v>0</v>
      </c>
    </row>
    <row r="26" spans="1:24" s="227" customFormat="1" ht="12" customHeight="1" x14ac:dyDescent="0.2">
      <c r="A26" s="275"/>
      <c r="B26" s="274"/>
      <c r="C26" s="221"/>
      <c r="D26" s="220"/>
      <c r="E26" s="219"/>
      <c r="F26" s="218"/>
      <c r="G26" s="235"/>
      <c r="H26" s="217"/>
      <c r="I26" s="234"/>
      <c r="J26" s="215"/>
      <c r="K26" s="214"/>
      <c r="L26" s="230">
        <f>SUM(L24:L25)</f>
        <v>0.1713293632</v>
      </c>
      <c r="M26" s="229">
        <f>SUM(M24:M25)</f>
        <v>445.45634431999997</v>
      </c>
      <c r="N26" s="211"/>
      <c r="O26" s="210"/>
      <c r="Q26" s="223"/>
      <c r="R26" s="222"/>
      <c r="S26" s="221"/>
      <c r="T26" s="220"/>
      <c r="U26" s="219"/>
      <c r="V26" s="267"/>
      <c r="W26" s="266"/>
      <c r="X26" s="265"/>
    </row>
    <row r="27" spans="1:24" s="227" customFormat="1" ht="12" customHeight="1" x14ac:dyDescent="0.2">
      <c r="A27" s="275"/>
      <c r="B27" s="274"/>
      <c r="C27" s="221"/>
      <c r="D27" s="220"/>
      <c r="E27" s="219"/>
      <c r="F27" s="218"/>
      <c r="G27" s="235"/>
      <c r="H27" s="217"/>
      <c r="I27" s="234"/>
      <c r="J27" s="215"/>
      <c r="K27" s="214"/>
      <c r="L27" s="213"/>
      <c r="M27" s="212"/>
      <c r="N27" s="211"/>
      <c r="O27" s="210"/>
      <c r="Q27" s="271" t="s">
        <v>132</v>
      </c>
      <c r="R27" s="233" t="s">
        <v>152</v>
      </c>
      <c r="S27" s="221"/>
      <c r="T27" s="220"/>
      <c r="U27" s="219"/>
      <c r="V27" s="261">
        <f>M20</f>
        <v>3205.8919499999997</v>
      </c>
      <c r="W27" s="260" t="s">
        <v>16</v>
      </c>
      <c r="X27" s="259">
        <f>N71</f>
        <v>0</v>
      </c>
    </row>
    <row r="28" spans="1:24" s="227" customFormat="1" ht="12" customHeight="1" x14ac:dyDescent="0.2">
      <c r="A28" s="225" t="s">
        <v>151</v>
      </c>
      <c r="B28" s="224"/>
      <c r="C28" s="221"/>
      <c r="D28" s="220"/>
      <c r="E28" s="219"/>
      <c r="F28" s="218"/>
      <c r="G28" s="235"/>
      <c r="H28" s="217"/>
      <c r="I28" s="234"/>
      <c r="J28" s="215"/>
      <c r="K28" s="214"/>
      <c r="L28" s="213"/>
      <c r="M28" s="212"/>
      <c r="N28" s="211"/>
      <c r="O28" s="210"/>
      <c r="Q28" s="223"/>
      <c r="R28" s="222"/>
      <c r="S28" s="221"/>
      <c r="T28" s="220"/>
      <c r="U28" s="219"/>
      <c r="V28" s="267"/>
      <c r="W28" s="266"/>
      <c r="X28" s="265"/>
    </row>
    <row r="29" spans="1:24" s="227" customFormat="1" ht="12" customHeight="1" x14ac:dyDescent="0.2">
      <c r="A29" s="271"/>
      <c r="B29" s="233"/>
      <c r="C29" s="221"/>
      <c r="D29" s="220"/>
      <c r="E29" s="219"/>
      <c r="F29" s="273"/>
      <c r="G29" s="235"/>
      <c r="H29" s="217"/>
      <c r="I29" s="272"/>
      <c r="J29" s="215"/>
      <c r="K29" s="214"/>
      <c r="L29" s="213"/>
      <c r="M29" s="212"/>
      <c r="N29" s="211"/>
      <c r="O29" s="210"/>
      <c r="Q29" s="271" t="s">
        <v>132</v>
      </c>
      <c r="R29" s="233" t="s">
        <v>150</v>
      </c>
      <c r="S29" s="221"/>
      <c r="T29" s="220"/>
      <c r="U29" s="219"/>
      <c r="V29" s="270">
        <f>M22</f>
        <v>9685.7585999999992</v>
      </c>
      <c r="W29" s="269" t="s">
        <v>16</v>
      </c>
      <c r="X29" s="268">
        <f>N29</f>
        <v>0</v>
      </c>
    </row>
    <row r="30" spans="1:24" s="227" customFormat="1" ht="12" customHeight="1" x14ac:dyDescent="0.2">
      <c r="A30" s="271" t="s">
        <v>39</v>
      </c>
      <c r="B30" s="233" t="s">
        <v>149</v>
      </c>
      <c r="C30" s="221">
        <v>1000</v>
      </c>
      <c r="D30" s="220">
        <v>500</v>
      </c>
      <c r="E30" s="219">
        <v>30</v>
      </c>
      <c r="F30" s="218">
        <v>2.81</v>
      </c>
      <c r="G30" s="213">
        <v>6.1</v>
      </c>
      <c r="H30" s="217"/>
      <c r="I30" s="216">
        <v>0.03</v>
      </c>
      <c r="J30" s="215">
        <f>F30*G30</f>
        <v>17.140999999999998</v>
      </c>
      <c r="K30" s="214">
        <f>J30/((C30*D30)/1000000)</f>
        <v>34.281999999999996</v>
      </c>
      <c r="L30" s="213"/>
      <c r="M30" s="212"/>
      <c r="N30" s="211"/>
      <c r="O30" s="210"/>
      <c r="Q30" s="223"/>
      <c r="R30" s="222"/>
      <c r="S30" s="221"/>
      <c r="T30" s="220"/>
      <c r="U30" s="219"/>
      <c r="V30" s="267"/>
      <c r="W30" s="266"/>
      <c r="X30" s="265"/>
    </row>
    <row r="31" spans="1:24" s="227" customFormat="1" ht="12" customHeight="1" x14ac:dyDescent="0.2">
      <c r="A31" s="223"/>
      <c r="B31" s="222"/>
      <c r="C31" s="221">
        <v>1000</v>
      </c>
      <c r="D31" s="220">
        <v>500</v>
      </c>
      <c r="E31" s="219">
        <v>30</v>
      </c>
      <c r="F31" s="218">
        <v>2.7</v>
      </c>
      <c r="G31" s="213">
        <v>6.1</v>
      </c>
      <c r="H31" s="217"/>
      <c r="I31" s="216">
        <v>0.03</v>
      </c>
      <c r="J31" s="215">
        <f>F31*G31</f>
        <v>16.47</v>
      </c>
      <c r="K31" s="214">
        <f>J31/((C31*D31)/1000000)</f>
        <v>32.94</v>
      </c>
      <c r="L31" s="213"/>
      <c r="M31" s="212"/>
      <c r="N31" s="211"/>
      <c r="O31" s="210"/>
      <c r="Q31" s="223" t="s">
        <v>132</v>
      </c>
      <c r="R31" s="233" t="s">
        <v>133</v>
      </c>
      <c r="S31" s="221"/>
      <c r="T31" s="220"/>
      <c r="U31" s="219"/>
      <c r="V31" s="261">
        <f>M26+M58+M95+M103</f>
        <v>31547.680744320001</v>
      </c>
      <c r="W31" s="260" t="s">
        <v>16</v>
      </c>
      <c r="X31" s="259">
        <f>N56</f>
        <v>0</v>
      </c>
    </row>
    <row r="32" spans="1:24" s="227" customFormat="1" ht="12" customHeight="1" x14ac:dyDescent="0.2">
      <c r="A32" s="223"/>
      <c r="B32" s="222"/>
      <c r="C32" s="221">
        <v>1000</v>
      </c>
      <c r="D32" s="220">
        <v>500</v>
      </c>
      <c r="E32" s="219">
        <v>30</v>
      </c>
      <c r="F32" s="218">
        <v>0.97</v>
      </c>
      <c r="G32" s="213">
        <v>1.4</v>
      </c>
      <c r="H32" s="217">
        <v>2</v>
      </c>
      <c r="I32" s="216">
        <v>0.03</v>
      </c>
      <c r="J32" s="215">
        <f>F32*G32*H32</f>
        <v>2.7159999999999997</v>
      </c>
      <c r="K32" s="214">
        <f>J32/((C32*D32)/1000000)</f>
        <v>5.4319999999999995</v>
      </c>
      <c r="L32" s="213"/>
      <c r="M32" s="212"/>
      <c r="N32" s="211"/>
      <c r="O32" s="210"/>
      <c r="Q32" s="223"/>
      <c r="R32" s="222"/>
      <c r="S32" s="221"/>
      <c r="T32" s="220"/>
      <c r="U32" s="219"/>
      <c r="V32" s="267"/>
      <c r="W32" s="266"/>
      <c r="X32" s="265"/>
    </row>
    <row r="33" spans="1:24" s="227" customFormat="1" ht="12" customHeight="1" x14ac:dyDescent="0.2">
      <c r="A33" s="223"/>
      <c r="B33" s="222"/>
      <c r="C33" s="221">
        <v>1000</v>
      </c>
      <c r="D33" s="220">
        <v>500</v>
      </c>
      <c r="E33" s="219">
        <v>30</v>
      </c>
      <c r="F33" s="218">
        <f>(0.78*2*3.14)/2</f>
        <v>2.4492000000000003</v>
      </c>
      <c r="G33" s="213">
        <v>1.74</v>
      </c>
      <c r="H33" s="217"/>
      <c r="I33" s="216">
        <v>0.03</v>
      </c>
      <c r="J33" s="215">
        <f>F33*G33</f>
        <v>4.2616080000000007</v>
      </c>
      <c r="K33" s="214">
        <f>J33/((C33*D33)/1000000)</f>
        <v>8.5232160000000015</v>
      </c>
      <c r="L33" s="213"/>
      <c r="M33" s="212"/>
      <c r="N33" s="211"/>
      <c r="O33" s="210"/>
      <c r="Q33" s="223" t="s">
        <v>67</v>
      </c>
      <c r="R33" s="222" t="s">
        <v>129</v>
      </c>
      <c r="S33" s="221"/>
      <c r="T33" s="220"/>
      <c r="U33" s="219"/>
      <c r="V33" s="261">
        <f>K62+K107</f>
        <v>203</v>
      </c>
      <c r="W33" s="260" t="s">
        <v>25</v>
      </c>
      <c r="X33" s="259">
        <f>N77</f>
        <v>0</v>
      </c>
    </row>
    <row r="34" spans="1:24" s="227" customFormat="1" ht="12" customHeight="1" x14ac:dyDescent="0.2">
      <c r="A34" s="223"/>
      <c r="B34" s="222"/>
      <c r="C34" s="221">
        <v>1000</v>
      </c>
      <c r="D34" s="220">
        <v>500</v>
      </c>
      <c r="E34" s="219">
        <v>30</v>
      </c>
      <c r="F34" s="218">
        <v>-1.56</v>
      </c>
      <c r="G34" s="213">
        <v>1.1399999999999999</v>
      </c>
      <c r="H34" s="217"/>
      <c r="I34" s="216">
        <v>0.03</v>
      </c>
      <c r="J34" s="200">
        <f>F34*G34</f>
        <v>-1.7784</v>
      </c>
      <c r="K34" s="242">
        <f>J34/((C34*D34)/1000000)</f>
        <v>-3.5568</v>
      </c>
      <c r="L34" s="213"/>
      <c r="M34" s="212"/>
      <c r="N34" s="211"/>
      <c r="O34" s="210"/>
      <c r="Q34" s="223"/>
      <c r="R34" s="222"/>
      <c r="S34" s="221"/>
      <c r="T34" s="220"/>
      <c r="U34" s="219"/>
      <c r="V34" s="261"/>
      <c r="W34" s="260"/>
      <c r="X34" s="259"/>
    </row>
    <row r="35" spans="1:24" s="227" customFormat="1" ht="12" customHeight="1" x14ac:dyDescent="0.2">
      <c r="A35" s="223"/>
      <c r="B35" s="222"/>
      <c r="C35" s="221"/>
      <c r="D35" s="220"/>
      <c r="E35" s="219"/>
      <c r="F35" s="218"/>
      <c r="G35" s="213"/>
      <c r="H35" s="217"/>
      <c r="I35" s="216"/>
      <c r="J35" s="241">
        <f>SUM(J30:J34)</f>
        <v>38.810208000000003</v>
      </c>
      <c r="K35" s="226">
        <f>SUM(K30:K34)</f>
        <v>77.620416000000006</v>
      </c>
      <c r="L35" s="213">
        <f>J35*I34</f>
        <v>1.1643062399999999</v>
      </c>
      <c r="M35" s="212"/>
      <c r="N35" s="211"/>
      <c r="O35" s="210"/>
      <c r="Q35" s="223" t="s">
        <v>67</v>
      </c>
      <c r="R35" s="222" t="s">
        <v>123</v>
      </c>
      <c r="S35" s="221"/>
      <c r="T35" s="220"/>
      <c r="U35" s="219"/>
      <c r="V35" s="270">
        <f>K113</f>
        <v>154</v>
      </c>
      <c r="W35" s="269" t="s">
        <v>25</v>
      </c>
      <c r="X35" s="268">
        <f>N35</f>
        <v>0</v>
      </c>
    </row>
    <row r="36" spans="1:24" s="227" customFormat="1" ht="12" customHeight="1" x14ac:dyDescent="0.2">
      <c r="A36" s="223"/>
      <c r="B36" s="222"/>
      <c r="C36" s="221"/>
      <c r="D36" s="220"/>
      <c r="E36" s="219"/>
      <c r="F36" s="218"/>
      <c r="G36" s="213"/>
      <c r="H36" s="217"/>
      <c r="I36" s="216"/>
      <c r="J36" s="215"/>
      <c r="K36" s="214"/>
      <c r="L36" s="213"/>
      <c r="M36" s="212"/>
      <c r="N36" s="211"/>
      <c r="O36" s="210"/>
      <c r="Q36" s="223"/>
      <c r="R36" s="222"/>
      <c r="S36" s="221"/>
      <c r="T36" s="220"/>
      <c r="U36" s="219"/>
      <c r="V36" s="267"/>
      <c r="W36" s="266"/>
      <c r="X36" s="265"/>
    </row>
    <row r="37" spans="1:24" s="227" customFormat="1" ht="12" customHeight="1" x14ac:dyDescent="0.2">
      <c r="A37" s="223" t="s">
        <v>17</v>
      </c>
      <c r="B37" s="222" t="s">
        <v>139</v>
      </c>
      <c r="C37" s="221">
        <v>220</v>
      </c>
      <c r="D37" s="220">
        <v>110</v>
      </c>
      <c r="E37" s="219">
        <v>60</v>
      </c>
      <c r="F37" s="218">
        <v>2.7</v>
      </c>
      <c r="G37" s="213">
        <v>5.5</v>
      </c>
      <c r="H37" s="217">
        <v>2</v>
      </c>
      <c r="I37" s="232">
        <v>0.11</v>
      </c>
      <c r="J37" s="215"/>
      <c r="K37" s="214">
        <f>L37/((C37*D37*E37)/1000000000)</f>
        <v>2250.0000000000005</v>
      </c>
      <c r="L37" s="213">
        <f>F37*G37*H37*I37</f>
        <v>3.2670000000000003</v>
      </c>
      <c r="M37" s="212"/>
      <c r="N37" s="211"/>
      <c r="O37" s="210"/>
      <c r="Q37" s="223" t="s">
        <v>67</v>
      </c>
      <c r="R37" s="222" t="s">
        <v>147</v>
      </c>
      <c r="S37" s="221">
        <v>250</v>
      </c>
      <c r="T37" s="220"/>
      <c r="U37" s="228" t="s">
        <v>122</v>
      </c>
      <c r="V37" s="261">
        <f>K60</f>
        <v>32</v>
      </c>
      <c r="W37" s="260" t="s">
        <v>25</v>
      </c>
      <c r="X37" s="259">
        <f>N71</f>
        <v>0</v>
      </c>
    </row>
    <row r="38" spans="1:24" s="227" customFormat="1" ht="12" customHeight="1" x14ac:dyDescent="0.2">
      <c r="A38" s="223"/>
      <c r="B38" s="222"/>
      <c r="C38" s="221">
        <v>220</v>
      </c>
      <c r="D38" s="220">
        <v>110</v>
      </c>
      <c r="E38" s="219">
        <v>60</v>
      </c>
      <c r="F38" s="218">
        <v>0.97</v>
      </c>
      <c r="G38" s="213">
        <v>1.4</v>
      </c>
      <c r="H38" s="217">
        <v>2</v>
      </c>
      <c r="I38" s="232">
        <v>0.11</v>
      </c>
      <c r="J38" s="215"/>
      <c r="K38" s="214">
        <f>L38/((C38*D38*E38)/1000000000)</f>
        <v>205.75757575757575</v>
      </c>
      <c r="L38" s="213">
        <f>F38*G38*H38*I38</f>
        <v>0.29875999999999997</v>
      </c>
      <c r="M38" s="212"/>
      <c r="N38" s="211"/>
      <c r="O38" s="210"/>
      <c r="Q38" s="223"/>
      <c r="R38" s="222"/>
      <c r="S38" s="264"/>
      <c r="T38" s="263"/>
      <c r="U38" s="262"/>
      <c r="V38" s="267"/>
      <c r="W38" s="266"/>
      <c r="X38" s="265"/>
    </row>
    <row r="39" spans="1:24" s="227" customFormat="1" ht="12" customHeight="1" x14ac:dyDescent="0.2">
      <c r="A39" s="223"/>
      <c r="B39" s="222"/>
      <c r="C39" s="221">
        <v>220</v>
      </c>
      <c r="D39" s="220">
        <v>110</v>
      </c>
      <c r="E39" s="219">
        <v>60</v>
      </c>
      <c r="F39" s="218">
        <f>(0.75*2*3.14)/2</f>
        <v>2.355</v>
      </c>
      <c r="G39" s="213">
        <v>1.74</v>
      </c>
      <c r="H39" s="217"/>
      <c r="I39" s="232">
        <v>0.11</v>
      </c>
      <c r="J39" s="215"/>
      <c r="K39" s="214">
        <f>L39/((C39*D39*E39)/1000000000)</f>
        <v>310.43181818181819</v>
      </c>
      <c r="L39" s="213">
        <f>F39*G39*I39</f>
        <v>0.45074699999999995</v>
      </c>
      <c r="M39" s="212"/>
      <c r="N39" s="211"/>
      <c r="O39" s="210"/>
      <c r="Q39" s="223" t="s">
        <v>128</v>
      </c>
      <c r="R39" s="222" t="s">
        <v>127</v>
      </c>
      <c r="S39" s="221"/>
      <c r="T39" s="220"/>
      <c r="U39" s="219"/>
      <c r="V39" s="261">
        <f>K64+K109</f>
        <v>126</v>
      </c>
      <c r="W39" s="260" t="s">
        <v>25</v>
      </c>
      <c r="X39" s="259">
        <f>N83</f>
        <v>0</v>
      </c>
    </row>
    <row r="40" spans="1:24" s="227" customFormat="1" ht="12" customHeight="1" x14ac:dyDescent="0.2">
      <c r="A40" s="223"/>
      <c r="B40" s="222"/>
      <c r="C40" s="221">
        <v>220</v>
      </c>
      <c r="D40" s="220">
        <v>110</v>
      </c>
      <c r="E40" s="219">
        <v>60</v>
      </c>
      <c r="F40" s="218">
        <v>-1.5</v>
      </c>
      <c r="G40" s="213">
        <v>1.1399999999999999</v>
      </c>
      <c r="H40" s="217"/>
      <c r="I40" s="216">
        <v>0.11</v>
      </c>
      <c r="J40" s="215"/>
      <c r="K40" s="242">
        <f>L40/((C40*D40*E40)/1000000000)</f>
        <v>-129.54545454545453</v>
      </c>
      <c r="L40" s="203">
        <f>F40*G40*I40</f>
        <v>-0.18809999999999999</v>
      </c>
      <c r="M40" s="212"/>
      <c r="N40" s="211"/>
      <c r="O40" s="210"/>
      <c r="Q40" s="223"/>
      <c r="R40" s="222"/>
      <c r="S40" s="221"/>
      <c r="T40" s="220"/>
      <c r="U40" s="219"/>
      <c r="V40" s="267"/>
      <c r="W40" s="266"/>
      <c r="X40" s="265"/>
    </row>
    <row r="41" spans="1:24" s="227" customFormat="1" ht="12" customHeight="1" x14ac:dyDescent="0.2">
      <c r="A41" s="223"/>
      <c r="B41" s="222"/>
      <c r="C41" s="221"/>
      <c r="D41" s="220"/>
      <c r="E41" s="219"/>
      <c r="F41" s="218"/>
      <c r="G41" s="213"/>
      <c r="H41" s="217"/>
      <c r="I41" s="216"/>
      <c r="J41" s="215"/>
      <c r="K41" s="226">
        <f>SUM(K37:K40)</f>
        <v>2636.6439393939395</v>
      </c>
      <c r="L41" s="230">
        <f>SUM(L37:L40)</f>
        <v>3.8284070000000008</v>
      </c>
      <c r="M41" s="212"/>
      <c r="N41" s="211"/>
      <c r="O41" s="210"/>
      <c r="Q41" s="223" t="s">
        <v>126</v>
      </c>
      <c r="R41" s="222" t="s">
        <v>125</v>
      </c>
      <c r="S41" s="221">
        <v>208</v>
      </c>
      <c r="T41" s="220"/>
      <c r="U41" s="228" t="s">
        <v>124</v>
      </c>
      <c r="V41" s="270">
        <f>K66</f>
        <v>20</v>
      </c>
      <c r="W41" s="269" t="s">
        <v>25</v>
      </c>
      <c r="X41" s="268">
        <f>N41</f>
        <v>0</v>
      </c>
    </row>
    <row r="42" spans="1:24" s="227" customFormat="1" ht="12" customHeight="1" x14ac:dyDescent="0.2">
      <c r="A42" s="223"/>
      <c r="B42" s="222"/>
      <c r="C42" s="221"/>
      <c r="D42" s="220"/>
      <c r="E42" s="219"/>
      <c r="F42" s="218"/>
      <c r="G42" s="213"/>
      <c r="H42" s="217"/>
      <c r="I42" s="216"/>
      <c r="J42" s="215"/>
      <c r="K42" s="214"/>
      <c r="L42" s="213"/>
      <c r="M42" s="212"/>
      <c r="N42" s="211"/>
      <c r="O42" s="210"/>
      <c r="Q42" s="223"/>
      <c r="R42" s="222"/>
      <c r="S42" s="221"/>
      <c r="T42" s="220"/>
      <c r="U42" s="219"/>
      <c r="V42" s="267"/>
      <c r="W42" s="266"/>
      <c r="X42" s="265"/>
    </row>
    <row r="43" spans="1:24" s="227" customFormat="1" ht="12" customHeight="1" x14ac:dyDescent="0.2">
      <c r="A43" s="223" t="s">
        <v>17</v>
      </c>
      <c r="B43" s="222" t="s">
        <v>140</v>
      </c>
      <c r="C43" s="221">
        <v>230</v>
      </c>
      <c r="D43" s="220">
        <v>114</v>
      </c>
      <c r="E43" s="219">
        <v>64</v>
      </c>
      <c r="F43" s="218">
        <v>2.7</v>
      </c>
      <c r="G43" s="213">
        <v>5.5</v>
      </c>
      <c r="H43" s="217">
        <v>2</v>
      </c>
      <c r="I43" s="232">
        <v>6.4000000000000001E-2</v>
      </c>
      <c r="J43" s="215"/>
      <c r="K43" s="214">
        <f>L43/((C43*D43*E43)/1000000000)</f>
        <v>1132.7231121281466</v>
      </c>
      <c r="L43" s="213">
        <f>F43*G43*H43*I43</f>
        <v>1.9008000000000003</v>
      </c>
      <c r="M43" s="212"/>
      <c r="N43" s="211"/>
      <c r="O43" s="210"/>
      <c r="Q43" s="223" t="s">
        <v>126</v>
      </c>
      <c r="R43" s="222" t="s">
        <v>125</v>
      </c>
      <c r="S43" s="221">
        <v>185</v>
      </c>
      <c r="T43" s="220"/>
      <c r="U43" s="228" t="s">
        <v>124</v>
      </c>
      <c r="V43" s="261">
        <f>K111</f>
        <v>18</v>
      </c>
      <c r="W43" s="260" t="s">
        <v>25</v>
      </c>
      <c r="X43" s="259">
        <f>N74</f>
        <v>0</v>
      </c>
    </row>
    <row r="44" spans="1:24" s="227" customFormat="1" ht="12" customHeight="1" x14ac:dyDescent="0.2">
      <c r="A44" s="223"/>
      <c r="B44" s="222"/>
      <c r="C44" s="221">
        <v>230</v>
      </c>
      <c r="D44" s="220">
        <v>114</v>
      </c>
      <c r="E44" s="219">
        <v>64</v>
      </c>
      <c r="F44" s="218">
        <v>0.97</v>
      </c>
      <c r="G44" s="213">
        <v>1.4</v>
      </c>
      <c r="H44" s="217">
        <v>2</v>
      </c>
      <c r="I44" s="232">
        <v>6.4000000000000001E-2</v>
      </c>
      <c r="J44" s="215"/>
      <c r="K44" s="214">
        <f>L44/((C44*D44*E44)/1000000000)</f>
        <v>103.58504958047291</v>
      </c>
      <c r="L44" s="213">
        <f>F44*G44*H44*I44</f>
        <v>0.17382399999999998</v>
      </c>
      <c r="M44" s="212"/>
      <c r="N44" s="211"/>
      <c r="O44" s="210"/>
      <c r="Q44" s="223"/>
      <c r="R44" s="222"/>
      <c r="S44" s="221"/>
      <c r="T44" s="220"/>
      <c r="U44" s="219"/>
      <c r="V44" s="267"/>
      <c r="W44" s="266"/>
      <c r="X44" s="265"/>
    </row>
    <row r="45" spans="1:24" s="227" customFormat="1" ht="12" customHeight="1" x14ac:dyDescent="0.2">
      <c r="A45" s="223"/>
      <c r="B45" s="222"/>
      <c r="C45" s="221">
        <v>230</v>
      </c>
      <c r="D45" s="220">
        <v>114</v>
      </c>
      <c r="E45" s="219">
        <v>64</v>
      </c>
      <c r="F45" s="218">
        <f>(0.64*2*3.14)/2</f>
        <v>2.0096000000000003</v>
      </c>
      <c r="G45" s="213">
        <v>1.74</v>
      </c>
      <c r="H45" s="217"/>
      <c r="I45" s="232">
        <v>0.114</v>
      </c>
      <c r="J45" s="215"/>
      <c r="K45" s="214">
        <f>L45/((C45*D45*E45)/1000000000)</f>
        <v>237.54782608695658</v>
      </c>
      <c r="L45" s="213">
        <f>F45*G45*I45</f>
        <v>0.39862425600000007</v>
      </c>
      <c r="M45" s="212"/>
      <c r="N45" s="211"/>
      <c r="O45" s="210"/>
      <c r="Q45" s="223" t="s">
        <v>126</v>
      </c>
      <c r="R45" s="222" t="s">
        <v>125</v>
      </c>
      <c r="S45" s="221">
        <v>160</v>
      </c>
      <c r="T45" s="220"/>
      <c r="U45" s="228" t="s">
        <v>124</v>
      </c>
      <c r="V45" s="261">
        <f>K68</f>
        <v>88</v>
      </c>
      <c r="W45" s="260" t="s">
        <v>25</v>
      </c>
      <c r="X45" s="259">
        <f>N77</f>
        <v>0</v>
      </c>
    </row>
    <row r="46" spans="1:24" s="227" customFormat="1" ht="12" customHeight="1" x14ac:dyDescent="0.2">
      <c r="A46" s="223"/>
      <c r="B46" s="222"/>
      <c r="C46" s="221">
        <v>230</v>
      </c>
      <c r="D46" s="220">
        <v>114</v>
      </c>
      <c r="E46" s="219">
        <v>64</v>
      </c>
      <c r="F46" s="218">
        <v>-1.5</v>
      </c>
      <c r="G46" s="213">
        <v>1.1399999999999999</v>
      </c>
      <c r="H46" s="217"/>
      <c r="I46" s="216">
        <v>0.64</v>
      </c>
      <c r="J46" s="215"/>
      <c r="K46" s="242">
        <f>L46/((C46*D46*E46)/1000000000)</f>
        <v>-652.17391304347825</v>
      </c>
      <c r="L46" s="203">
        <f>F46*G46*I46</f>
        <v>-1.0944</v>
      </c>
      <c r="M46" s="212"/>
      <c r="N46" s="211"/>
      <c r="O46" s="210"/>
      <c r="Q46" s="223"/>
      <c r="R46" s="222"/>
      <c r="S46" s="221"/>
      <c r="T46" s="220"/>
      <c r="U46" s="219"/>
      <c r="V46" s="267"/>
      <c r="W46" s="266"/>
      <c r="X46" s="265"/>
    </row>
    <row r="47" spans="1:24" s="227" customFormat="1" ht="12" customHeight="1" x14ac:dyDescent="0.2">
      <c r="A47" s="223"/>
      <c r="B47" s="222"/>
      <c r="C47" s="221"/>
      <c r="D47" s="220"/>
      <c r="E47" s="219"/>
      <c r="F47" s="218"/>
      <c r="G47" s="213"/>
      <c r="H47" s="217"/>
      <c r="I47" s="216"/>
      <c r="J47" s="215"/>
      <c r="K47" s="226">
        <f>SUM(K43:K46)</f>
        <v>821.68207475209783</v>
      </c>
      <c r="L47" s="230">
        <f>SUM(L43:L46)</f>
        <v>1.3788482560000002</v>
      </c>
      <c r="M47" s="212"/>
      <c r="N47" s="211"/>
      <c r="O47" s="210"/>
      <c r="Q47" s="223" t="s">
        <v>19</v>
      </c>
      <c r="R47" s="222" t="s">
        <v>120</v>
      </c>
      <c r="S47" s="221">
        <v>14640</v>
      </c>
      <c r="T47" s="220">
        <v>610</v>
      </c>
      <c r="U47" s="219">
        <v>13</v>
      </c>
      <c r="V47" s="261">
        <f>K117</f>
        <v>1</v>
      </c>
      <c r="W47" s="260" t="s">
        <v>25</v>
      </c>
      <c r="X47" s="259">
        <f>N89</f>
        <v>0</v>
      </c>
    </row>
    <row r="48" spans="1:24" s="227" customFormat="1" ht="12" customHeight="1" x14ac:dyDescent="0.2">
      <c r="A48" s="223"/>
      <c r="B48" s="222"/>
      <c r="C48" s="221"/>
      <c r="D48" s="220"/>
      <c r="E48" s="219"/>
      <c r="F48" s="218"/>
      <c r="G48" s="213"/>
      <c r="H48" s="217"/>
      <c r="I48" s="216"/>
      <c r="J48" s="215"/>
      <c r="K48" s="214"/>
      <c r="L48" s="213"/>
      <c r="M48" s="212"/>
      <c r="N48" s="211"/>
      <c r="O48" s="210"/>
      <c r="Q48" s="223"/>
      <c r="R48" s="222"/>
      <c r="S48" s="221"/>
      <c r="T48" s="220"/>
      <c r="U48" s="219"/>
      <c r="V48" s="261"/>
      <c r="W48" s="260"/>
      <c r="X48" s="259"/>
    </row>
    <row r="49" spans="1:24" s="227" customFormat="1" ht="12" customHeight="1" x14ac:dyDescent="0.2">
      <c r="A49" s="223" t="s">
        <v>17</v>
      </c>
      <c r="B49" s="222" t="s">
        <v>148</v>
      </c>
      <c r="C49" s="221">
        <v>220</v>
      </c>
      <c r="D49" s="220">
        <v>110</v>
      </c>
      <c r="E49" s="219">
        <v>60</v>
      </c>
      <c r="F49" s="218">
        <v>2.7</v>
      </c>
      <c r="G49" s="213">
        <v>5.5</v>
      </c>
      <c r="H49" s="217">
        <v>2</v>
      </c>
      <c r="I49" s="232">
        <v>0.11</v>
      </c>
      <c r="J49" s="215"/>
      <c r="K49" s="214">
        <f>L49/((C49*D49*E49)/1000000000)</f>
        <v>2250.0000000000005</v>
      </c>
      <c r="L49" s="213">
        <f>F49*G49*H49*I49</f>
        <v>3.2670000000000003</v>
      </c>
      <c r="M49" s="212"/>
      <c r="N49" s="211"/>
      <c r="O49" s="210"/>
      <c r="Q49" s="223" t="s">
        <v>19</v>
      </c>
      <c r="R49" s="222" t="s">
        <v>120</v>
      </c>
      <c r="S49" s="221">
        <v>7320</v>
      </c>
      <c r="T49" s="220">
        <v>610</v>
      </c>
      <c r="U49" s="219">
        <v>25</v>
      </c>
      <c r="V49" s="261">
        <f>K119</f>
        <v>3</v>
      </c>
      <c r="W49" s="260" t="s">
        <v>25</v>
      </c>
      <c r="X49" s="259">
        <f>N81</f>
        <v>0</v>
      </c>
    </row>
    <row r="50" spans="1:24" s="227" customFormat="1" ht="12" customHeight="1" x14ac:dyDescent="0.2">
      <c r="A50" s="223"/>
      <c r="B50" s="222"/>
      <c r="C50" s="221">
        <v>220</v>
      </c>
      <c r="D50" s="220">
        <v>110</v>
      </c>
      <c r="E50" s="219">
        <v>60</v>
      </c>
      <c r="F50" s="218">
        <v>0.97</v>
      </c>
      <c r="G50" s="213">
        <v>1.4</v>
      </c>
      <c r="H50" s="217">
        <v>2</v>
      </c>
      <c r="I50" s="232">
        <v>0.11</v>
      </c>
      <c r="J50" s="215"/>
      <c r="K50" s="214">
        <f>L50/((C50*D50*E50)/1000000000)</f>
        <v>205.75757575757575</v>
      </c>
      <c r="L50" s="213">
        <f>F50*G50*H50*I50</f>
        <v>0.29875999999999997</v>
      </c>
      <c r="M50" s="212"/>
      <c r="N50" s="211"/>
      <c r="O50" s="210"/>
      <c r="Q50" s="223"/>
      <c r="R50" s="222"/>
      <c r="S50" s="264"/>
      <c r="T50" s="263"/>
      <c r="U50" s="262"/>
      <c r="V50" s="267"/>
      <c r="W50" s="266"/>
      <c r="X50" s="265"/>
    </row>
    <row r="51" spans="1:24" s="227" customFormat="1" ht="12" customHeight="1" x14ac:dyDescent="0.2">
      <c r="A51" s="223"/>
      <c r="B51" s="222"/>
      <c r="C51" s="221">
        <v>220</v>
      </c>
      <c r="D51" s="220">
        <v>110</v>
      </c>
      <c r="E51" s="219">
        <v>60</v>
      </c>
      <c r="F51" s="218">
        <f>(0.58*2*3.14)/2</f>
        <v>1.8211999999999999</v>
      </c>
      <c r="G51" s="213">
        <v>1.74</v>
      </c>
      <c r="H51" s="217"/>
      <c r="I51" s="232">
        <v>0.11</v>
      </c>
      <c r="J51" s="215"/>
      <c r="K51" s="214">
        <f>L51/((C51*D51*E51)/1000000000)</f>
        <v>240.06727272727272</v>
      </c>
      <c r="L51" s="213">
        <f>F51*G51*I51</f>
        <v>0.34857768</v>
      </c>
      <c r="M51" s="212"/>
      <c r="N51" s="211"/>
      <c r="O51" s="210"/>
      <c r="Q51" s="223" t="s">
        <v>18</v>
      </c>
      <c r="R51" s="222" t="s">
        <v>117</v>
      </c>
      <c r="S51" s="264"/>
      <c r="T51" s="263"/>
      <c r="U51" s="262"/>
      <c r="V51" s="261">
        <f>M123</f>
        <v>2104.5194422231471</v>
      </c>
      <c r="W51" s="260" t="s">
        <v>16</v>
      </c>
      <c r="X51" s="259">
        <f>N93</f>
        <v>0</v>
      </c>
    </row>
    <row r="52" spans="1:24" s="227" customFormat="1" ht="12" customHeight="1" x14ac:dyDescent="0.2">
      <c r="A52" s="223"/>
      <c r="B52" s="222"/>
      <c r="C52" s="221">
        <v>220</v>
      </c>
      <c r="D52" s="220">
        <v>110</v>
      </c>
      <c r="E52" s="219">
        <v>60</v>
      </c>
      <c r="F52" s="218">
        <v>-1.5</v>
      </c>
      <c r="G52" s="213">
        <v>1.1399999999999999</v>
      </c>
      <c r="H52" s="217"/>
      <c r="I52" s="216">
        <v>0.11</v>
      </c>
      <c r="J52" s="215"/>
      <c r="K52" s="242">
        <f>L52/((C52*D52*E52)/1000000000)</f>
        <v>-129.54545454545453</v>
      </c>
      <c r="L52" s="203">
        <f>F52*G52*I52</f>
        <v>-0.18809999999999999</v>
      </c>
      <c r="M52" s="212"/>
      <c r="N52" s="211"/>
      <c r="O52" s="210"/>
      <c r="Q52" s="209"/>
      <c r="R52" s="208"/>
      <c r="S52" s="207"/>
      <c r="T52" s="206"/>
      <c r="U52" s="205"/>
      <c r="V52" s="258"/>
      <c r="W52" s="257"/>
      <c r="X52" s="256"/>
    </row>
    <row r="53" spans="1:24" s="227" customFormat="1" ht="12" customHeight="1" x14ac:dyDescent="0.2">
      <c r="A53" s="223"/>
      <c r="B53" s="222"/>
      <c r="C53" s="221"/>
      <c r="D53" s="220"/>
      <c r="E53" s="219"/>
      <c r="F53" s="218"/>
      <c r="G53" s="213"/>
      <c r="H53" s="217"/>
      <c r="I53" s="216"/>
      <c r="J53" s="215"/>
      <c r="K53" s="226">
        <f>SUM(K49:K52)</f>
        <v>2566.2793939393941</v>
      </c>
      <c r="L53" s="230">
        <f>SUM(L49:L52)</f>
        <v>3.7262376800000006</v>
      </c>
      <c r="M53" s="212"/>
      <c r="N53" s="211"/>
      <c r="O53" s="210"/>
    </row>
    <row r="54" spans="1:24" s="227" customFormat="1" ht="12" customHeight="1" x14ac:dyDescent="0.2">
      <c r="A54" s="223"/>
      <c r="B54" s="222"/>
      <c r="C54" s="221"/>
      <c r="D54" s="220"/>
      <c r="E54" s="219"/>
      <c r="F54" s="218"/>
      <c r="G54" s="213"/>
      <c r="H54" s="217"/>
      <c r="I54" s="216"/>
      <c r="J54" s="215"/>
      <c r="K54" s="214"/>
      <c r="L54" s="213"/>
      <c r="M54" s="212"/>
      <c r="N54" s="211"/>
      <c r="O54" s="210"/>
    </row>
    <row r="55" spans="1:24" s="227" customFormat="1" ht="12" customHeight="1" x14ac:dyDescent="0.2">
      <c r="A55" s="223" t="s">
        <v>132</v>
      </c>
      <c r="B55" s="233" t="s">
        <v>133</v>
      </c>
      <c r="C55" s="221">
        <v>2600</v>
      </c>
      <c r="D55" s="220" t="s">
        <v>130</v>
      </c>
      <c r="E55" s="219"/>
      <c r="F55" s="218">
        <v>6.16</v>
      </c>
      <c r="G55" s="213">
        <v>2.42</v>
      </c>
      <c r="H55" s="217">
        <v>2</v>
      </c>
      <c r="I55" s="216">
        <v>0.2</v>
      </c>
      <c r="J55" s="215"/>
      <c r="K55" s="214"/>
      <c r="L55" s="213">
        <f>F55*G55*H55*I55</f>
        <v>5.9628800000000002</v>
      </c>
      <c r="M55" s="212">
        <f>L55*C55</f>
        <v>15503.488000000001</v>
      </c>
      <c r="N55" s="211"/>
      <c r="O55" s="210"/>
      <c r="Q55" s="253"/>
      <c r="R55" s="253"/>
      <c r="S55" s="252"/>
      <c r="T55" s="252"/>
      <c r="U55" s="255"/>
      <c r="V55" s="251"/>
      <c r="W55" s="250"/>
      <c r="X55" s="249"/>
    </row>
    <row r="56" spans="1:24" s="227" customFormat="1" ht="12" customHeight="1" x14ac:dyDescent="0.2">
      <c r="A56" s="223"/>
      <c r="B56" s="222"/>
      <c r="C56" s="221">
        <v>2600</v>
      </c>
      <c r="D56" s="220" t="s">
        <v>130</v>
      </c>
      <c r="E56" s="219"/>
      <c r="F56" s="218">
        <v>-1.1399999999999999</v>
      </c>
      <c r="G56" s="213">
        <v>1.06</v>
      </c>
      <c r="H56" s="217"/>
      <c r="I56" s="216">
        <v>0.2</v>
      </c>
      <c r="J56" s="215"/>
      <c r="K56" s="214"/>
      <c r="L56" s="213">
        <f>F56*G56*I56</f>
        <v>-0.24168000000000001</v>
      </c>
      <c r="M56" s="212">
        <f>L56*C56</f>
        <v>-628.36800000000005</v>
      </c>
      <c r="N56" s="211"/>
      <c r="O56" s="210"/>
      <c r="Q56" s="253"/>
      <c r="R56" s="253"/>
      <c r="S56" s="252"/>
      <c r="T56" s="252"/>
      <c r="U56" s="252"/>
      <c r="V56" s="251"/>
      <c r="W56" s="250"/>
      <c r="X56" s="251"/>
    </row>
    <row r="57" spans="1:24" s="227" customFormat="1" ht="12" customHeight="1" x14ac:dyDescent="0.2">
      <c r="A57" s="223"/>
      <c r="B57" s="222"/>
      <c r="C57" s="221">
        <v>2600</v>
      </c>
      <c r="D57" s="220" t="s">
        <v>130</v>
      </c>
      <c r="E57" s="219"/>
      <c r="F57" s="218">
        <v>0.3</v>
      </c>
      <c r="G57" s="213">
        <v>0.32</v>
      </c>
      <c r="H57" s="217">
        <v>4</v>
      </c>
      <c r="I57" s="216">
        <v>2.13</v>
      </c>
      <c r="J57" s="215"/>
      <c r="K57" s="214"/>
      <c r="L57" s="203">
        <f>F57*G57*H57*I57</f>
        <v>0.81791999999999998</v>
      </c>
      <c r="M57" s="231">
        <f>L57*C57</f>
        <v>2126.5920000000001</v>
      </c>
      <c r="N57" s="211"/>
      <c r="O57" s="210"/>
      <c r="Q57" s="253"/>
      <c r="R57" s="253"/>
      <c r="S57" s="252"/>
      <c r="T57" s="254"/>
      <c r="U57" s="252"/>
      <c r="V57" s="251"/>
      <c r="W57" s="250"/>
      <c r="X57" s="249"/>
    </row>
    <row r="58" spans="1:24" s="227" customFormat="1" ht="12" customHeight="1" x14ac:dyDescent="0.2">
      <c r="A58" s="223"/>
      <c r="B58" s="222"/>
      <c r="C58" s="221"/>
      <c r="D58" s="220"/>
      <c r="E58" s="219"/>
      <c r="F58" s="218"/>
      <c r="G58" s="213"/>
      <c r="H58" s="217"/>
      <c r="I58" s="216"/>
      <c r="J58" s="215"/>
      <c r="K58" s="214"/>
      <c r="L58" s="230">
        <f>SUM(L55:L57)</f>
        <v>6.5391200000000005</v>
      </c>
      <c r="M58" s="229">
        <f>SUM(M55:M57)</f>
        <v>17001.712</v>
      </c>
      <c r="N58" s="211"/>
      <c r="O58" s="210"/>
      <c r="Q58" s="253"/>
      <c r="R58" s="253"/>
      <c r="S58" s="252"/>
      <c r="T58" s="252"/>
      <c r="U58" s="252"/>
      <c r="V58" s="251"/>
      <c r="W58" s="250"/>
      <c r="X58" s="251"/>
    </row>
    <row r="59" spans="1:24" s="227" customFormat="1" ht="12" customHeight="1" x14ac:dyDescent="0.2">
      <c r="A59" s="223"/>
      <c r="B59" s="222"/>
      <c r="C59" s="221"/>
      <c r="D59" s="220"/>
      <c r="E59" s="219"/>
      <c r="F59" s="218"/>
      <c r="G59" s="213"/>
      <c r="H59" s="217"/>
      <c r="I59" s="216"/>
      <c r="J59" s="215"/>
      <c r="K59" s="214"/>
      <c r="L59" s="213"/>
      <c r="M59" s="212"/>
      <c r="N59" s="211"/>
      <c r="O59" s="210"/>
      <c r="Q59" s="253"/>
      <c r="R59" s="253"/>
      <c r="S59" s="252"/>
      <c r="T59" s="254"/>
      <c r="U59" s="252"/>
      <c r="V59" s="251"/>
      <c r="W59" s="250"/>
      <c r="X59" s="249"/>
    </row>
    <row r="60" spans="1:24" s="227" customFormat="1" ht="12" customHeight="1" x14ac:dyDescent="0.2">
      <c r="A60" s="223" t="s">
        <v>67</v>
      </c>
      <c r="B60" s="222" t="s">
        <v>147</v>
      </c>
      <c r="C60" s="221">
        <v>250</v>
      </c>
      <c r="D60" s="220"/>
      <c r="E60" s="228" t="s">
        <v>122</v>
      </c>
      <c r="F60" s="218"/>
      <c r="G60" s="213"/>
      <c r="H60" s="217">
        <v>32</v>
      </c>
      <c r="I60" s="232"/>
      <c r="J60" s="215"/>
      <c r="K60" s="214">
        <f>H60</f>
        <v>32</v>
      </c>
      <c r="L60" s="213"/>
      <c r="M60" s="212"/>
      <c r="N60" s="211"/>
      <c r="O60" s="210"/>
      <c r="Q60" s="253"/>
      <c r="R60" s="253"/>
      <c r="S60" s="252"/>
      <c r="T60" s="254"/>
      <c r="U60" s="252"/>
      <c r="V60" s="251"/>
      <c r="W60" s="250"/>
      <c r="X60" s="249"/>
    </row>
    <row r="61" spans="1:24" s="227" customFormat="1" ht="12" customHeight="1" x14ac:dyDescent="0.2">
      <c r="A61" s="223"/>
      <c r="B61" s="222"/>
      <c r="C61" s="221"/>
      <c r="D61" s="220"/>
      <c r="E61" s="219"/>
      <c r="F61" s="218"/>
      <c r="G61" s="213"/>
      <c r="H61" s="217"/>
      <c r="I61" s="216"/>
      <c r="J61" s="215"/>
      <c r="K61" s="214"/>
      <c r="L61" s="213"/>
      <c r="M61" s="212"/>
      <c r="N61" s="211"/>
      <c r="O61" s="210"/>
      <c r="Q61" s="253"/>
      <c r="R61" s="253"/>
      <c r="S61" s="252"/>
      <c r="T61" s="252"/>
      <c r="U61" s="252"/>
      <c r="V61" s="251"/>
      <c r="W61" s="250"/>
      <c r="X61" s="251"/>
    </row>
    <row r="62" spans="1:24" s="227" customFormat="1" ht="12" customHeight="1" x14ac:dyDescent="0.2">
      <c r="A62" s="223" t="s">
        <v>67</v>
      </c>
      <c r="B62" s="222" t="s">
        <v>129</v>
      </c>
      <c r="C62" s="221"/>
      <c r="D62" s="220"/>
      <c r="E62" s="219"/>
      <c r="F62" s="218"/>
      <c r="G62" s="213"/>
      <c r="H62" s="217">
        <v>108</v>
      </c>
      <c r="I62" s="216"/>
      <c r="J62" s="215"/>
      <c r="K62" s="214">
        <f>H62</f>
        <v>108</v>
      </c>
      <c r="L62" s="213"/>
      <c r="M62" s="212"/>
      <c r="N62" s="211"/>
      <c r="O62" s="210"/>
      <c r="Q62" s="253"/>
      <c r="R62" s="253"/>
      <c r="S62" s="252"/>
      <c r="T62" s="252"/>
      <c r="U62" s="252"/>
      <c r="V62" s="251"/>
      <c r="W62" s="250"/>
      <c r="X62" s="251"/>
    </row>
    <row r="63" spans="1:24" s="227" customFormat="1" ht="12" customHeight="1" x14ac:dyDescent="0.2">
      <c r="A63" s="223"/>
      <c r="B63" s="222"/>
      <c r="C63" s="221"/>
      <c r="D63" s="220"/>
      <c r="E63" s="219"/>
      <c r="F63" s="218"/>
      <c r="G63" s="213"/>
      <c r="H63" s="217"/>
      <c r="I63" s="216"/>
      <c r="J63" s="215"/>
      <c r="K63" s="214"/>
      <c r="L63" s="213"/>
      <c r="M63" s="212"/>
      <c r="N63" s="211"/>
      <c r="O63" s="210"/>
      <c r="Q63" s="253"/>
      <c r="R63" s="253"/>
      <c r="S63" s="252"/>
      <c r="T63" s="252"/>
      <c r="U63" s="252"/>
      <c r="V63" s="251"/>
      <c r="W63" s="250"/>
      <c r="X63" s="249"/>
    </row>
    <row r="64" spans="1:24" s="227" customFormat="1" ht="12" customHeight="1" x14ac:dyDescent="0.2">
      <c r="A64" s="223" t="s">
        <v>128</v>
      </c>
      <c r="B64" s="222" t="s">
        <v>127</v>
      </c>
      <c r="C64" s="221"/>
      <c r="D64" s="220"/>
      <c r="E64" s="219"/>
      <c r="F64" s="218"/>
      <c r="G64" s="213"/>
      <c r="H64" s="217">
        <v>108</v>
      </c>
      <c r="I64" s="216"/>
      <c r="J64" s="215"/>
      <c r="K64" s="214">
        <f>H64</f>
        <v>108</v>
      </c>
      <c r="L64" s="213"/>
      <c r="M64" s="212"/>
      <c r="N64" s="211"/>
      <c r="O64" s="210"/>
      <c r="Q64" s="253"/>
      <c r="R64" s="253"/>
      <c r="S64" s="252"/>
      <c r="T64" s="252"/>
      <c r="U64" s="252"/>
      <c r="V64" s="251"/>
      <c r="W64" s="250"/>
      <c r="X64" s="251"/>
    </row>
    <row r="65" spans="1:24" s="227" customFormat="1" ht="12" customHeight="1" x14ac:dyDescent="0.2">
      <c r="A65" s="223"/>
      <c r="B65" s="222"/>
      <c r="C65" s="221"/>
      <c r="D65" s="220"/>
      <c r="F65" s="218"/>
      <c r="G65" s="213"/>
      <c r="H65" s="217"/>
      <c r="I65" s="216"/>
      <c r="J65" s="215"/>
      <c r="K65" s="214"/>
      <c r="L65" s="213"/>
      <c r="M65" s="212"/>
      <c r="N65" s="211"/>
      <c r="O65" s="210"/>
      <c r="Q65" s="253"/>
      <c r="R65" s="253"/>
      <c r="S65" s="252"/>
      <c r="T65" s="252"/>
      <c r="U65" s="252"/>
      <c r="V65" s="251"/>
      <c r="W65" s="250"/>
      <c r="X65" s="249"/>
    </row>
    <row r="66" spans="1:24" s="227" customFormat="1" ht="12" customHeight="1" x14ac:dyDescent="0.2">
      <c r="A66" s="223" t="s">
        <v>126</v>
      </c>
      <c r="B66" s="222" t="s">
        <v>125</v>
      </c>
      <c r="C66" s="221">
        <v>208</v>
      </c>
      <c r="D66" s="220"/>
      <c r="E66" s="228" t="s">
        <v>124</v>
      </c>
      <c r="F66" s="218"/>
      <c r="G66" s="213"/>
      <c r="H66" s="217">
        <v>20</v>
      </c>
      <c r="I66" s="216"/>
      <c r="J66" s="215"/>
      <c r="K66" s="214">
        <f>H66</f>
        <v>20</v>
      </c>
      <c r="L66" s="213"/>
      <c r="M66" s="212"/>
      <c r="N66" s="211"/>
      <c r="O66" s="210"/>
    </row>
    <row r="67" spans="1:24" s="227" customFormat="1" ht="12" customHeight="1" x14ac:dyDescent="0.2">
      <c r="A67" s="223"/>
      <c r="B67" s="222"/>
      <c r="C67" s="221"/>
      <c r="D67" s="220"/>
      <c r="E67" s="219"/>
      <c r="F67" s="218"/>
      <c r="G67" s="213"/>
      <c r="H67" s="217"/>
      <c r="I67" s="216"/>
      <c r="J67" s="215"/>
      <c r="K67" s="214"/>
      <c r="L67" s="213"/>
      <c r="M67" s="212"/>
      <c r="N67" s="211"/>
      <c r="O67" s="210"/>
    </row>
    <row r="68" spans="1:24" s="227" customFormat="1" ht="12" customHeight="1" x14ac:dyDescent="0.2">
      <c r="A68" s="223" t="s">
        <v>126</v>
      </c>
      <c r="B68" s="222" t="s">
        <v>125</v>
      </c>
      <c r="C68" s="221">
        <v>160</v>
      </c>
      <c r="D68" s="220"/>
      <c r="E68" s="228" t="s">
        <v>124</v>
      </c>
      <c r="F68" s="218"/>
      <c r="G68" s="213"/>
      <c r="H68" s="217">
        <v>88</v>
      </c>
      <c r="I68" s="216"/>
      <c r="J68" s="215"/>
      <c r="K68" s="214">
        <f>H68</f>
        <v>88</v>
      </c>
      <c r="L68" s="213"/>
      <c r="M68" s="212"/>
      <c r="N68" s="211"/>
      <c r="O68" s="210"/>
    </row>
    <row r="69" spans="1:24" s="227" customFormat="1" ht="12" customHeight="1" x14ac:dyDescent="0.2">
      <c r="A69" s="248"/>
      <c r="B69" s="247"/>
      <c r="C69" s="221"/>
      <c r="D69" s="220"/>
      <c r="E69" s="228"/>
      <c r="F69" s="218"/>
      <c r="G69" s="213"/>
      <c r="H69" s="217"/>
      <c r="I69" s="232"/>
      <c r="J69" s="215"/>
      <c r="K69" s="214"/>
      <c r="L69" s="213"/>
      <c r="M69" s="212"/>
      <c r="N69" s="211"/>
      <c r="O69" s="210"/>
    </row>
    <row r="70" spans="1:24" s="227" customFormat="1" ht="12" customHeight="1" x14ac:dyDescent="0.2">
      <c r="A70" s="225" t="s">
        <v>146</v>
      </c>
      <c r="B70" s="224"/>
      <c r="C70" s="221"/>
      <c r="D70" s="220"/>
      <c r="E70" s="219"/>
      <c r="F70" s="218"/>
      <c r="G70" s="213"/>
      <c r="H70" s="217"/>
      <c r="I70" s="216"/>
      <c r="J70" s="215"/>
      <c r="K70" s="214"/>
      <c r="L70" s="213"/>
      <c r="M70" s="212"/>
      <c r="N70" s="211"/>
      <c r="O70" s="210"/>
    </row>
    <row r="71" spans="1:24" s="227" customFormat="1" ht="12" customHeight="1" x14ac:dyDescent="0.2">
      <c r="A71" s="223"/>
      <c r="B71" s="222"/>
      <c r="C71" s="221"/>
      <c r="D71" s="220"/>
      <c r="E71" s="219"/>
      <c r="F71" s="218"/>
      <c r="G71" s="213"/>
      <c r="H71" s="217"/>
      <c r="I71" s="216"/>
      <c r="J71" s="215"/>
      <c r="K71" s="214"/>
      <c r="L71" s="245"/>
      <c r="M71" s="212"/>
      <c r="N71" s="211"/>
      <c r="O71" s="210"/>
    </row>
    <row r="72" spans="1:24" s="227" customFormat="1" ht="12" customHeight="1" x14ac:dyDescent="0.2">
      <c r="A72" s="223" t="s">
        <v>17</v>
      </c>
      <c r="B72" s="222" t="s">
        <v>143</v>
      </c>
      <c r="C72" s="221">
        <v>220</v>
      </c>
      <c r="D72" s="220">
        <v>110</v>
      </c>
      <c r="E72" s="219">
        <v>60</v>
      </c>
      <c r="F72" s="218">
        <v>1.49</v>
      </c>
      <c r="G72" s="213">
        <v>0.55000000000000004</v>
      </c>
      <c r="H72" s="217">
        <v>2</v>
      </c>
      <c r="I72" s="216">
        <v>0.22</v>
      </c>
      <c r="J72" s="215"/>
      <c r="K72" s="214">
        <f>L72/((C72*D72*E72)/1000000000)</f>
        <v>248.33333333333334</v>
      </c>
      <c r="L72" s="213">
        <f>F72*G72*H72*I72</f>
        <v>0.36058000000000001</v>
      </c>
      <c r="M72" s="212"/>
      <c r="N72" s="211"/>
      <c r="O72" s="210"/>
    </row>
    <row r="73" spans="1:24" ht="12" customHeight="1" x14ac:dyDescent="0.25">
      <c r="A73" s="223"/>
      <c r="B73" s="222"/>
      <c r="C73" s="221">
        <v>220</v>
      </c>
      <c r="D73" s="220">
        <v>110</v>
      </c>
      <c r="E73" s="219">
        <v>60</v>
      </c>
      <c r="F73" s="218">
        <f>(0.1*0.1*3.14)</f>
        <v>3.1400000000000004E-2</v>
      </c>
      <c r="G73" s="213"/>
      <c r="H73" s="217"/>
      <c r="I73" s="216">
        <v>0.22</v>
      </c>
      <c r="J73" s="215"/>
      <c r="K73" s="242">
        <f>L73/((C73*D73*E73)/1000000000)</f>
        <v>4.7575757575757587</v>
      </c>
      <c r="L73" s="203">
        <f>F73*I73</f>
        <v>6.9080000000000009E-3</v>
      </c>
      <c r="M73" s="212"/>
      <c r="N73" s="211"/>
      <c r="O73" s="210"/>
      <c r="Q73" s="227"/>
      <c r="R73" s="227"/>
      <c r="S73" s="227"/>
      <c r="T73" s="227"/>
      <c r="U73" s="227"/>
      <c r="V73" s="227"/>
      <c r="W73" s="227"/>
      <c r="X73" s="227"/>
    </row>
    <row r="74" spans="1:24" ht="12" customHeight="1" x14ac:dyDescent="0.25">
      <c r="A74" s="223"/>
      <c r="B74" s="222"/>
      <c r="C74" s="221"/>
      <c r="D74" s="220"/>
      <c r="E74" s="219"/>
      <c r="F74" s="218"/>
      <c r="G74" s="213"/>
      <c r="H74" s="217"/>
      <c r="I74" s="216"/>
      <c r="J74" s="215"/>
      <c r="K74" s="226">
        <f>SUM(K72:K73)</f>
        <v>253.09090909090909</v>
      </c>
      <c r="L74" s="230">
        <f>SUM(L72:L73)</f>
        <v>0.36748800000000004</v>
      </c>
      <c r="M74" s="212"/>
      <c r="N74" s="211"/>
      <c r="O74" s="210"/>
      <c r="Q74" s="227"/>
      <c r="R74" s="227"/>
      <c r="S74" s="227"/>
      <c r="T74" s="227"/>
      <c r="U74" s="227"/>
      <c r="V74" s="227"/>
      <c r="W74" s="227"/>
      <c r="X74" s="227"/>
    </row>
    <row r="75" spans="1:24" ht="12" customHeight="1" x14ac:dyDescent="0.25">
      <c r="A75" s="223"/>
      <c r="B75" s="222"/>
      <c r="C75" s="221"/>
      <c r="D75" s="220"/>
      <c r="E75" s="219"/>
      <c r="F75" s="218"/>
      <c r="G75" s="213"/>
      <c r="H75" s="217"/>
      <c r="I75" s="216"/>
      <c r="J75" s="215"/>
      <c r="K75" s="214"/>
      <c r="L75" s="213"/>
      <c r="M75" s="212"/>
      <c r="N75" s="211"/>
      <c r="O75" s="210"/>
    </row>
    <row r="76" spans="1:24" ht="12" customHeight="1" x14ac:dyDescent="0.25">
      <c r="A76" s="223" t="s">
        <v>144</v>
      </c>
      <c r="B76" s="222" t="s">
        <v>143</v>
      </c>
      <c r="C76" s="221">
        <v>220</v>
      </c>
      <c r="D76" s="220">
        <v>110</v>
      </c>
      <c r="E76" s="246" t="s">
        <v>145</v>
      </c>
      <c r="F76" s="218"/>
      <c r="G76" s="213"/>
      <c r="H76" s="217">
        <v>303</v>
      </c>
      <c r="I76" s="216"/>
      <c r="J76" s="215"/>
      <c r="K76" s="214">
        <f>H76</f>
        <v>303</v>
      </c>
      <c r="L76" s="213">
        <f>K76*0.22*0.11*0.055</f>
        <v>0.40329299999999996</v>
      </c>
      <c r="M76" s="244"/>
      <c r="N76" s="211"/>
      <c r="O76" s="210"/>
    </row>
    <row r="77" spans="1:24" ht="12" customHeight="1" x14ac:dyDescent="0.25">
      <c r="A77" s="223"/>
      <c r="B77" s="222"/>
      <c r="C77" s="221"/>
      <c r="D77" s="220"/>
      <c r="E77" s="219"/>
      <c r="F77" s="218"/>
      <c r="G77" s="213"/>
      <c r="H77" s="217"/>
      <c r="I77" s="216"/>
      <c r="J77" s="215"/>
      <c r="K77" s="214"/>
      <c r="L77" s="245"/>
      <c r="M77" s="244"/>
      <c r="N77" s="211"/>
      <c r="O77" s="210"/>
    </row>
    <row r="78" spans="1:24" ht="12" customHeight="1" x14ac:dyDescent="0.25">
      <c r="A78" s="223" t="s">
        <v>144</v>
      </c>
      <c r="B78" s="222" t="s">
        <v>143</v>
      </c>
      <c r="C78" s="221">
        <v>220</v>
      </c>
      <c r="D78" s="220">
        <v>110</v>
      </c>
      <c r="E78" s="246" t="s">
        <v>142</v>
      </c>
      <c r="F78" s="218"/>
      <c r="G78" s="213"/>
      <c r="H78" s="217">
        <v>182</v>
      </c>
      <c r="I78" s="216"/>
      <c r="J78" s="215"/>
      <c r="K78" s="214">
        <f>H78</f>
        <v>182</v>
      </c>
      <c r="L78" s="213">
        <f>K78*0.22*0.11*0.05</f>
        <v>0.22022</v>
      </c>
      <c r="M78" s="244"/>
      <c r="N78" s="211"/>
      <c r="O78" s="210"/>
    </row>
    <row r="79" spans="1:24" ht="12" customHeight="1" x14ac:dyDescent="0.25">
      <c r="A79" s="223"/>
      <c r="B79" s="222"/>
      <c r="C79" s="221"/>
      <c r="D79" s="220"/>
      <c r="E79" s="219"/>
      <c r="F79" s="218"/>
      <c r="G79" s="213"/>
      <c r="H79" s="217"/>
      <c r="I79" s="216"/>
      <c r="J79" s="215"/>
      <c r="K79" s="214"/>
      <c r="L79" s="245"/>
      <c r="M79" s="244"/>
      <c r="N79" s="211"/>
      <c r="O79" s="210"/>
    </row>
    <row r="80" spans="1:24" s="227" customFormat="1" ht="12" customHeight="1" x14ac:dyDescent="0.25">
      <c r="A80" s="223" t="s">
        <v>141</v>
      </c>
      <c r="B80" s="222" t="s">
        <v>140</v>
      </c>
      <c r="C80" s="221">
        <v>220</v>
      </c>
      <c r="D80" s="220">
        <v>110</v>
      </c>
      <c r="E80" s="219">
        <v>60</v>
      </c>
      <c r="F80" s="218">
        <f>(1.062*3.14*0.97)/2</f>
        <v>1.6173198</v>
      </c>
      <c r="G80" s="213"/>
      <c r="H80" s="217"/>
      <c r="I80" s="216">
        <v>0.11</v>
      </c>
      <c r="J80" s="215"/>
      <c r="K80" s="214">
        <f>L80/((C80*D80*E80)/1000000000)</f>
        <v>122.52422727272727</v>
      </c>
      <c r="L80" s="213">
        <f>F80*I80</f>
        <v>0.177905178</v>
      </c>
      <c r="M80" s="244"/>
      <c r="N80" s="211"/>
      <c r="O80" s="210"/>
      <c r="Q80"/>
      <c r="R80"/>
      <c r="S80"/>
      <c r="T80"/>
      <c r="U80"/>
      <c r="V80"/>
      <c r="W80"/>
      <c r="X80"/>
    </row>
    <row r="81" spans="1:24" s="227" customFormat="1" ht="12" customHeight="1" x14ac:dyDescent="0.25">
      <c r="A81" s="223"/>
      <c r="B81" s="222"/>
      <c r="C81" s="221"/>
      <c r="D81" s="220"/>
      <c r="E81" s="219"/>
      <c r="F81" s="218"/>
      <c r="G81" s="213"/>
      <c r="H81" s="217"/>
      <c r="I81" s="216"/>
      <c r="J81" s="215"/>
      <c r="K81" s="214"/>
      <c r="L81" s="245"/>
      <c r="M81" s="244"/>
      <c r="N81" s="211"/>
      <c r="O81" s="210"/>
      <c r="Q81"/>
      <c r="R81"/>
      <c r="S81"/>
      <c r="T81"/>
      <c r="U81"/>
      <c r="V81"/>
      <c r="W81"/>
      <c r="X81"/>
    </row>
    <row r="82" spans="1:24" s="227" customFormat="1" ht="12" customHeight="1" x14ac:dyDescent="0.2">
      <c r="A82" s="223" t="s">
        <v>17</v>
      </c>
      <c r="B82" s="222" t="s">
        <v>139</v>
      </c>
      <c r="C82" s="221">
        <v>220</v>
      </c>
      <c r="D82" s="220">
        <v>110</v>
      </c>
      <c r="E82" s="219">
        <v>60</v>
      </c>
      <c r="F82" s="218">
        <f>(1.28*3.14*0.97)/2</f>
        <v>1.9493120000000002</v>
      </c>
      <c r="G82" s="213"/>
      <c r="H82" s="217"/>
      <c r="I82" s="216">
        <v>0.11</v>
      </c>
      <c r="J82" s="215"/>
      <c r="K82" s="214">
        <f>L82/((C82*D82*E82)/1000000000)</f>
        <v>147.67515151515153</v>
      </c>
      <c r="L82" s="213">
        <f>F82*I82</f>
        <v>0.21442432000000003</v>
      </c>
      <c r="M82" s="243"/>
      <c r="N82" s="211"/>
      <c r="O82" s="210"/>
    </row>
    <row r="83" spans="1:24" s="227" customFormat="1" ht="12" customHeight="1" x14ac:dyDescent="0.2">
      <c r="A83" s="223"/>
      <c r="B83" s="222"/>
      <c r="C83" s="221"/>
      <c r="D83" s="220"/>
      <c r="E83" s="219"/>
      <c r="F83" s="218"/>
      <c r="G83" s="213"/>
      <c r="H83" s="217"/>
      <c r="I83" s="232"/>
      <c r="J83" s="215"/>
      <c r="K83" s="240"/>
      <c r="L83" s="240"/>
      <c r="M83" s="239"/>
      <c r="N83" s="211"/>
      <c r="O83" s="236"/>
    </row>
    <row r="84" spans="1:24" s="227" customFormat="1" ht="12" customHeight="1" x14ac:dyDescent="0.2">
      <c r="A84" s="223" t="s">
        <v>39</v>
      </c>
      <c r="B84" s="222" t="s">
        <v>138</v>
      </c>
      <c r="C84" s="221">
        <v>1200</v>
      </c>
      <c r="D84" s="220">
        <v>1000</v>
      </c>
      <c r="E84" s="238">
        <v>30</v>
      </c>
      <c r="F84" s="218">
        <v>1.08</v>
      </c>
      <c r="G84" s="213">
        <v>0.98</v>
      </c>
      <c r="H84" s="217">
        <v>2</v>
      </c>
      <c r="I84" s="232">
        <v>0.03</v>
      </c>
      <c r="J84" s="215">
        <f>F84*G84*H84</f>
        <v>2.1168</v>
      </c>
      <c r="K84" s="214">
        <f>J84/((C84*D84)/1000000)</f>
        <v>1.764</v>
      </c>
      <c r="L84" s="240"/>
      <c r="M84" s="239"/>
      <c r="N84" s="211"/>
      <c r="O84" s="236"/>
    </row>
    <row r="85" spans="1:24" s="227" customFormat="1" ht="12" customHeight="1" x14ac:dyDescent="0.2">
      <c r="A85" s="223"/>
      <c r="B85" s="222"/>
      <c r="C85" s="221">
        <v>1200</v>
      </c>
      <c r="D85" s="220">
        <v>1000</v>
      </c>
      <c r="E85" s="238">
        <v>30</v>
      </c>
      <c r="F85" s="218">
        <f>(1.53*3.14)/2</f>
        <v>2.4021000000000003</v>
      </c>
      <c r="G85" s="213">
        <v>1.73</v>
      </c>
      <c r="H85" s="217"/>
      <c r="I85" s="232">
        <v>0.03</v>
      </c>
      <c r="J85" s="215">
        <f>F85*G85</f>
        <v>4.1556330000000008</v>
      </c>
      <c r="K85" s="214">
        <f>J85/((C85*D85)/1000000)</f>
        <v>3.4630275000000008</v>
      </c>
      <c r="L85" s="240"/>
      <c r="M85" s="239"/>
      <c r="N85" s="211"/>
      <c r="O85" s="236"/>
    </row>
    <row r="86" spans="1:24" s="227" customFormat="1" ht="12" customHeight="1" x14ac:dyDescent="0.2">
      <c r="A86" s="223"/>
      <c r="B86" s="222"/>
      <c r="C86" s="221">
        <v>1200</v>
      </c>
      <c r="D86" s="220">
        <v>1000</v>
      </c>
      <c r="E86" s="238">
        <v>30</v>
      </c>
      <c r="F86" s="218">
        <f>(1.53*3.14)/2</f>
        <v>2.4021000000000003</v>
      </c>
      <c r="G86" s="213">
        <v>0.7</v>
      </c>
      <c r="H86" s="217"/>
      <c r="I86" s="232">
        <v>0.03</v>
      </c>
      <c r="J86" s="200">
        <f>F86*G86</f>
        <v>1.6814700000000002</v>
      </c>
      <c r="K86" s="242">
        <f>J86/((C86*D86)/1000000)</f>
        <v>1.4012250000000002</v>
      </c>
      <c r="L86" s="240"/>
      <c r="M86" s="239"/>
      <c r="N86" s="211"/>
      <c r="O86" s="236"/>
    </row>
    <row r="87" spans="1:24" s="227" customFormat="1" ht="12" customHeight="1" x14ac:dyDescent="0.2">
      <c r="A87" s="223"/>
      <c r="B87" s="222"/>
      <c r="C87" s="221"/>
      <c r="D87" s="220"/>
      <c r="E87" s="238"/>
      <c r="F87" s="218"/>
      <c r="G87" s="213"/>
      <c r="H87" s="217"/>
      <c r="I87" s="232"/>
      <c r="J87" s="241">
        <f>SUM(J84:J86)</f>
        <v>7.9539030000000013</v>
      </c>
      <c r="K87" s="226">
        <f>SUM(K84:K86)</f>
        <v>6.6282525000000012</v>
      </c>
      <c r="L87" s="240">
        <f>J87*I86</f>
        <v>0.23861709000000003</v>
      </c>
      <c r="M87" s="239"/>
      <c r="N87" s="211"/>
      <c r="O87" s="236"/>
    </row>
    <row r="88" spans="1:24" s="227" customFormat="1" ht="12" customHeight="1" x14ac:dyDescent="0.2">
      <c r="A88" s="223"/>
      <c r="B88" s="222"/>
      <c r="C88" s="221"/>
      <c r="D88" s="220"/>
      <c r="E88" s="238"/>
      <c r="F88" s="218"/>
      <c r="G88" s="213"/>
      <c r="H88" s="217"/>
      <c r="I88" s="232"/>
      <c r="J88" s="215"/>
      <c r="K88" s="237"/>
      <c r="L88" s="240"/>
      <c r="M88" s="239"/>
      <c r="N88" s="211"/>
      <c r="O88" s="236"/>
    </row>
    <row r="89" spans="1:24" s="227" customFormat="1" ht="12" customHeight="1" x14ac:dyDescent="0.2">
      <c r="A89" s="223" t="s">
        <v>132</v>
      </c>
      <c r="B89" s="222" t="s">
        <v>137</v>
      </c>
      <c r="C89" s="221">
        <v>850</v>
      </c>
      <c r="D89" s="220" t="s">
        <v>130</v>
      </c>
      <c r="E89" s="238"/>
      <c r="F89" s="218">
        <f>0.84*3.14*0.2</f>
        <v>0.52751999999999999</v>
      </c>
      <c r="G89" s="213"/>
      <c r="H89" s="217"/>
      <c r="I89" s="232">
        <v>0.3</v>
      </c>
      <c r="J89" s="215"/>
      <c r="K89" s="237"/>
      <c r="L89" s="213">
        <f>F89*I89</f>
        <v>0.15825599999999998</v>
      </c>
      <c r="M89" s="212">
        <f>L89*C89</f>
        <v>134.51759999999999</v>
      </c>
      <c r="N89" s="211"/>
      <c r="O89" s="236"/>
    </row>
    <row r="90" spans="1:24" s="227" customFormat="1" ht="12" customHeight="1" x14ac:dyDescent="0.2">
      <c r="A90" s="223"/>
      <c r="B90" s="222"/>
      <c r="C90" s="221"/>
      <c r="D90" s="220"/>
      <c r="E90" s="219"/>
      <c r="F90" s="218"/>
      <c r="G90" s="213"/>
      <c r="H90" s="217"/>
      <c r="I90" s="216"/>
      <c r="J90" s="215"/>
      <c r="K90" s="214"/>
      <c r="L90" s="213"/>
      <c r="M90" s="212"/>
      <c r="N90" s="211"/>
      <c r="O90" s="210"/>
    </row>
    <row r="91" spans="1:24" s="227" customFormat="1" ht="12" customHeight="1" x14ac:dyDescent="0.2">
      <c r="A91" s="225" t="s">
        <v>136</v>
      </c>
      <c r="B91" s="224"/>
      <c r="C91" s="221"/>
      <c r="D91" s="220"/>
      <c r="E91" s="219"/>
      <c r="F91" s="218"/>
      <c r="G91" s="235"/>
      <c r="H91" s="217"/>
      <c r="I91" s="234"/>
      <c r="J91" s="215"/>
      <c r="K91" s="214"/>
      <c r="L91" s="213"/>
      <c r="M91" s="212"/>
      <c r="N91" s="211"/>
      <c r="O91" s="210"/>
    </row>
    <row r="92" spans="1:24" s="227" customFormat="1" ht="12" customHeight="1" x14ac:dyDescent="0.2">
      <c r="A92" s="223"/>
      <c r="B92" s="222"/>
      <c r="C92" s="221"/>
      <c r="D92" s="220"/>
      <c r="E92" s="219"/>
      <c r="F92" s="218"/>
      <c r="G92" s="213"/>
      <c r="H92" s="217"/>
      <c r="I92" s="216"/>
      <c r="J92" s="215"/>
      <c r="K92" s="214"/>
      <c r="L92" s="213"/>
      <c r="M92" s="212"/>
      <c r="N92" s="211"/>
      <c r="O92" s="210"/>
    </row>
    <row r="93" spans="1:24" s="227" customFormat="1" ht="12" customHeight="1" x14ac:dyDescent="0.2">
      <c r="A93" s="223" t="s">
        <v>132</v>
      </c>
      <c r="B93" s="233" t="s">
        <v>133</v>
      </c>
      <c r="C93" s="221">
        <v>2600</v>
      </c>
      <c r="D93" s="220" t="s">
        <v>130</v>
      </c>
      <c r="E93" s="219"/>
      <c r="F93" s="218">
        <v>0.55000000000000004</v>
      </c>
      <c r="G93" s="213">
        <v>0.55000000000000004</v>
      </c>
      <c r="H93" s="217">
        <v>8</v>
      </c>
      <c r="I93" s="216">
        <v>0.49</v>
      </c>
      <c r="J93" s="215"/>
      <c r="K93" s="214"/>
      <c r="L93" s="213">
        <f>F93*G93*H93*I93</f>
        <v>1.1858000000000002</v>
      </c>
      <c r="M93" s="212">
        <f>L93*C93</f>
        <v>3083.0800000000004</v>
      </c>
      <c r="N93" s="211"/>
      <c r="O93" s="210"/>
    </row>
    <row r="94" spans="1:24" s="227" customFormat="1" ht="12" customHeight="1" x14ac:dyDescent="0.2">
      <c r="A94" s="223"/>
      <c r="B94" s="222"/>
      <c r="C94" s="221">
        <v>2600</v>
      </c>
      <c r="D94" s="220" t="s">
        <v>130</v>
      </c>
      <c r="E94" s="219"/>
      <c r="F94" s="218">
        <f>-(0.1*0.1*3.14)</f>
        <v>-3.1400000000000004E-2</v>
      </c>
      <c r="G94" s="213"/>
      <c r="H94" s="217">
        <v>8</v>
      </c>
      <c r="I94" s="232">
        <v>0.49</v>
      </c>
      <c r="J94" s="215"/>
      <c r="K94" s="214"/>
      <c r="L94" s="203">
        <f>F94*H94*I94</f>
        <v>-0.12308800000000002</v>
      </c>
      <c r="M94" s="231">
        <f>L94*C94</f>
        <v>-320.02880000000005</v>
      </c>
      <c r="N94" s="211"/>
      <c r="O94" s="210"/>
    </row>
    <row r="95" spans="1:24" s="227" customFormat="1" ht="12" customHeight="1" x14ac:dyDescent="0.2">
      <c r="A95" s="223"/>
      <c r="B95" s="222"/>
      <c r="C95" s="221"/>
      <c r="D95" s="220"/>
      <c r="E95" s="219"/>
      <c r="F95" s="218"/>
      <c r="G95" s="213"/>
      <c r="H95" s="217"/>
      <c r="I95" s="216"/>
      <c r="J95" s="215"/>
      <c r="K95" s="214"/>
      <c r="L95" s="230">
        <f>SUM(L93:L94)</f>
        <v>1.0627120000000001</v>
      </c>
      <c r="M95" s="229">
        <f>SUM(M93:M94)</f>
        <v>2763.0512000000003</v>
      </c>
      <c r="N95" s="211"/>
      <c r="O95" s="210"/>
    </row>
    <row r="96" spans="1:24" s="227" customFormat="1" ht="12" customHeight="1" x14ac:dyDescent="0.2">
      <c r="A96" s="223"/>
      <c r="B96" s="222"/>
      <c r="C96" s="221"/>
      <c r="D96" s="220"/>
      <c r="E96" s="219"/>
      <c r="F96" s="218"/>
      <c r="G96" s="213"/>
      <c r="H96" s="217"/>
      <c r="I96" s="216"/>
      <c r="J96" s="215"/>
      <c r="K96" s="214"/>
      <c r="L96" s="213"/>
      <c r="M96" s="212"/>
      <c r="N96" s="211"/>
      <c r="O96" s="210"/>
    </row>
    <row r="97" spans="1:15" s="227" customFormat="1" ht="12" customHeight="1" x14ac:dyDescent="0.2">
      <c r="A97" s="223" t="s">
        <v>39</v>
      </c>
      <c r="B97" s="222" t="s">
        <v>135</v>
      </c>
      <c r="C97" s="221">
        <v>1200</v>
      </c>
      <c r="D97" s="220">
        <v>1000</v>
      </c>
      <c r="E97" s="219">
        <v>25</v>
      </c>
      <c r="F97" s="218">
        <v>0.6</v>
      </c>
      <c r="G97" s="213">
        <v>0.6</v>
      </c>
      <c r="H97" s="217">
        <v>8</v>
      </c>
      <c r="I97" s="216">
        <v>2.5000000000000001E-2</v>
      </c>
      <c r="J97" s="215">
        <f>F97*G97*H97</f>
        <v>2.88</v>
      </c>
      <c r="K97" s="214">
        <f>J97/((C97*D97)/1000000)</f>
        <v>2.4</v>
      </c>
      <c r="L97" s="213">
        <f>J97*I97</f>
        <v>7.1999999999999995E-2</v>
      </c>
      <c r="M97" s="212"/>
      <c r="N97" s="211"/>
      <c r="O97" s="210"/>
    </row>
    <row r="98" spans="1:15" s="227" customFormat="1" ht="12" customHeight="1" x14ac:dyDescent="0.2">
      <c r="A98" s="223"/>
      <c r="B98" s="222"/>
      <c r="C98" s="221"/>
      <c r="D98" s="220"/>
      <c r="E98" s="219"/>
      <c r="F98" s="218"/>
      <c r="G98" s="213"/>
      <c r="H98" s="217"/>
      <c r="I98" s="216"/>
      <c r="J98" s="215"/>
      <c r="K98" s="214"/>
      <c r="L98" s="213"/>
      <c r="M98" s="212"/>
      <c r="N98" s="211"/>
      <c r="O98" s="210"/>
    </row>
    <row r="99" spans="1:15" s="227" customFormat="1" ht="12" customHeight="1" x14ac:dyDescent="0.2">
      <c r="A99" s="225" t="s">
        <v>134</v>
      </c>
      <c r="B99" s="224"/>
      <c r="C99" s="221"/>
      <c r="D99" s="220"/>
      <c r="E99" s="219"/>
      <c r="F99" s="218"/>
      <c r="G99" s="235"/>
      <c r="H99" s="217"/>
      <c r="I99" s="234"/>
      <c r="J99" s="215"/>
      <c r="K99" s="214"/>
      <c r="L99" s="213"/>
      <c r="M99" s="212"/>
      <c r="N99" s="211"/>
      <c r="O99" s="210"/>
    </row>
    <row r="100" spans="1:15" s="227" customFormat="1" ht="12" customHeight="1" x14ac:dyDescent="0.2">
      <c r="A100" s="223"/>
      <c r="B100" s="222"/>
      <c r="C100" s="221"/>
      <c r="D100" s="220"/>
      <c r="E100" s="219"/>
      <c r="F100" s="218"/>
      <c r="G100" s="213"/>
      <c r="H100" s="217"/>
      <c r="I100" s="216"/>
      <c r="J100" s="215"/>
      <c r="K100" s="214"/>
      <c r="L100" s="213"/>
      <c r="M100" s="212"/>
      <c r="N100" s="211"/>
      <c r="O100" s="210"/>
    </row>
    <row r="101" spans="1:15" s="227" customFormat="1" ht="12" customHeight="1" x14ac:dyDescent="0.2">
      <c r="A101" s="223" t="s">
        <v>132</v>
      </c>
      <c r="B101" s="233" t="s">
        <v>133</v>
      </c>
      <c r="C101" s="221">
        <v>2600</v>
      </c>
      <c r="D101" s="220" t="s">
        <v>130</v>
      </c>
      <c r="E101" s="219"/>
      <c r="F101" s="218">
        <v>5.28</v>
      </c>
      <c r="G101" s="213">
        <v>2.98</v>
      </c>
      <c r="H101" s="217"/>
      <c r="I101" s="216">
        <v>0.2</v>
      </c>
      <c r="J101" s="215"/>
      <c r="K101" s="214"/>
      <c r="L101" s="213">
        <f>F101*G101*I101</f>
        <v>3.1468800000000003</v>
      </c>
      <c r="M101" s="212">
        <f>L101*C101</f>
        <v>8181.8880000000008</v>
      </c>
      <c r="N101" s="211"/>
      <c r="O101" s="210"/>
    </row>
    <row r="102" spans="1:15" s="227" customFormat="1" ht="12" customHeight="1" x14ac:dyDescent="0.2">
      <c r="A102" s="223"/>
      <c r="B102" s="222"/>
      <c r="C102" s="221">
        <v>2600</v>
      </c>
      <c r="D102" s="220" t="s">
        <v>130</v>
      </c>
      <c r="E102" s="219"/>
      <c r="F102" s="218">
        <v>0.41</v>
      </c>
      <c r="G102" s="213">
        <v>0.41</v>
      </c>
      <c r="H102" s="217">
        <v>2</v>
      </c>
      <c r="I102" s="232">
        <v>3.61</v>
      </c>
      <c r="J102" s="215"/>
      <c r="K102" s="214"/>
      <c r="L102" s="203">
        <f>F102*G102*H102*I102</f>
        <v>1.2136819999999997</v>
      </c>
      <c r="M102" s="231">
        <f>L102*C102</f>
        <v>3155.5731999999994</v>
      </c>
      <c r="N102" s="211"/>
      <c r="O102" s="210"/>
    </row>
    <row r="103" spans="1:15" s="227" customFormat="1" ht="12" customHeight="1" x14ac:dyDescent="0.2">
      <c r="A103" s="223"/>
      <c r="B103" s="222"/>
      <c r="C103" s="221"/>
      <c r="D103" s="220"/>
      <c r="E103" s="219"/>
      <c r="F103" s="218"/>
      <c r="G103" s="213"/>
      <c r="H103" s="217"/>
      <c r="I103" s="216"/>
      <c r="J103" s="215"/>
      <c r="K103" s="214"/>
      <c r="L103" s="230">
        <f>SUM(L101:L102)</f>
        <v>4.3605619999999998</v>
      </c>
      <c r="M103" s="229">
        <f>SUM(M101:M102)</f>
        <v>11337.4612</v>
      </c>
      <c r="N103" s="211"/>
      <c r="O103" s="210"/>
    </row>
    <row r="104" spans="1:15" s="227" customFormat="1" ht="12" customHeight="1" x14ac:dyDescent="0.2">
      <c r="A104" s="223"/>
      <c r="B104" s="222"/>
      <c r="C104" s="221"/>
      <c r="D104" s="220"/>
      <c r="E104" s="219"/>
      <c r="F104" s="218"/>
      <c r="G104" s="213"/>
      <c r="H104" s="217"/>
      <c r="I104" s="216"/>
      <c r="J104" s="215"/>
      <c r="K104" s="214"/>
      <c r="L104" s="230"/>
      <c r="M104" s="229"/>
      <c r="N104" s="211"/>
      <c r="O104" s="210"/>
    </row>
    <row r="105" spans="1:15" s="227" customFormat="1" ht="12" customHeight="1" x14ac:dyDescent="0.2">
      <c r="A105" s="223" t="s">
        <v>132</v>
      </c>
      <c r="B105" s="222" t="s">
        <v>131</v>
      </c>
      <c r="C105" s="221">
        <v>850</v>
      </c>
      <c r="D105" s="220" t="s">
        <v>130</v>
      </c>
      <c r="E105" s="219"/>
      <c r="F105" s="218">
        <v>5.28</v>
      </c>
      <c r="G105" s="213">
        <v>3.61</v>
      </c>
      <c r="H105" s="217"/>
      <c r="I105" s="216">
        <v>0.1</v>
      </c>
      <c r="J105" s="215"/>
      <c r="K105" s="214"/>
      <c r="L105" s="213">
        <f>F105*G105*I105</f>
        <v>1.9060800000000002</v>
      </c>
      <c r="M105" s="212">
        <f>L105*C105</f>
        <v>1620.1680000000001</v>
      </c>
      <c r="N105" s="211"/>
      <c r="O105" s="210"/>
    </row>
    <row r="106" spans="1:15" s="227" customFormat="1" ht="12" customHeight="1" x14ac:dyDescent="0.2">
      <c r="A106" s="223"/>
      <c r="B106" s="222"/>
      <c r="C106" s="221"/>
      <c r="D106" s="220"/>
      <c r="E106" s="219"/>
      <c r="F106" s="218"/>
      <c r="G106" s="213"/>
      <c r="H106" s="217"/>
      <c r="I106" s="216"/>
      <c r="J106" s="215"/>
      <c r="K106" s="214"/>
      <c r="L106" s="230"/>
      <c r="M106" s="229"/>
      <c r="N106" s="211"/>
      <c r="O106" s="210"/>
    </row>
    <row r="107" spans="1:15" s="227" customFormat="1" ht="12" customHeight="1" x14ac:dyDescent="0.2">
      <c r="A107" s="223" t="s">
        <v>67</v>
      </c>
      <c r="B107" s="222" t="s">
        <v>129</v>
      </c>
      <c r="C107" s="221"/>
      <c r="D107" s="220"/>
      <c r="E107" s="219"/>
      <c r="F107" s="218"/>
      <c r="G107" s="213"/>
      <c r="H107" s="217">
        <v>95</v>
      </c>
      <c r="I107" s="216"/>
      <c r="J107" s="215"/>
      <c r="K107" s="214">
        <f>H107</f>
        <v>95</v>
      </c>
      <c r="L107" s="213"/>
      <c r="M107" s="212"/>
      <c r="N107" s="211"/>
      <c r="O107" s="210"/>
    </row>
    <row r="108" spans="1:15" s="227" customFormat="1" ht="12" customHeight="1" x14ac:dyDescent="0.2">
      <c r="A108" s="223"/>
      <c r="B108" s="222"/>
      <c r="C108" s="221"/>
      <c r="D108" s="220"/>
      <c r="E108" s="219"/>
      <c r="F108" s="218"/>
      <c r="G108" s="213"/>
      <c r="H108" s="217"/>
      <c r="I108" s="216"/>
      <c r="J108" s="215"/>
      <c r="K108" s="214"/>
      <c r="L108" s="213"/>
      <c r="M108" s="212"/>
      <c r="N108" s="211"/>
      <c r="O108" s="210"/>
    </row>
    <row r="109" spans="1:15" s="227" customFormat="1" ht="12" customHeight="1" x14ac:dyDescent="0.2">
      <c r="A109" s="223" t="s">
        <v>128</v>
      </c>
      <c r="B109" s="222" t="s">
        <v>127</v>
      </c>
      <c r="C109" s="221"/>
      <c r="D109" s="220"/>
      <c r="E109" s="219"/>
      <c r="F109" s="218"/>
      <c r="G109" s="213"/>
      <c r="H109" s="217">
        <v>18</v>
      </c>
      <c r="I109" s="216"/>
      <c r="J109" s="215"/>
      <c r="K109" s="214">
        <f>H109</f>
        <v>18</v>
      </c>
      <c r="L109" s="213"/>
      <c r="M109" s="212"/>
      <c r="N109" s="211"/>
      <c r="O109" s="210"/>
    </row>
    <row r="110" spans="1:15" s="227" customFormat="1" ht="12" customHeight="1" x14ac:dyDescent="0.2">
      <c r="A110" s="223"/>
      <c r="B110" s="222"/>
      <c r="C110" s="221"/>
      <c r="D110" s="220"/>
      <c r="F110" s="218"/>
      <c r="G110" s="213"/>
      <c r="H110" s="217"/>
      <c r="I110" s="216"/>
      <c r="J110" s="215"/>
      <c r="K110" s="214"/>
      <c r="L110" s="213"/>
      <c r="M110" s="212"/>
      <c r="N110" s="211"/>
      <c r="O110" s="210"/>
    </row>
    <row r="111" spans="1:15" s="227" customFormat="1" ht="12" customHeight="1" x14ac:dyDescent="0.2">
      <c r="A111" s="223" t="s">
        <v>126</v>
      </c>
      <c r="B111" s="222" t="s">
        <v>125</v>
      </c>
      <c r="C111" s="221">
        <v>185</v>
      </c>
      <c r="D111" s="220"/>
      <c r="E111" s="228" t="s">
        <v>124</v>
      </c>
      <c r="F111" s="218"/>
      <c r="G111" s="213"/>
      <c r="H111" s="217">
        <v>18</v>
      </c>
      <c r="I111" s="216"/>
      <c r="J111" s="215"/>
      <c r="K111" s="214">
        <f>H111</f>
        <v>18</v>
      </c>
      <c r="L111" s="213"/>
      <c r="M111" s="212"/>
      <c r="N111" s="211"/>
      <c r="O111" s="210"/>
    </row>
    <row r="112" spans="1:15" s="227" customFormat="1" ht="12" customHeight="1" x14ac:dyDescent="0.2">
      <c r="A112" s="223"/>
      <c r="B112" s="222"/>
      <c r="C112" s="221"/>
      <c r="D112" s="220"/>
      <c r="E112" s="219"/>
      <c r="F112" s="218"/>
      <c r="G112" s="213"/>
      <c r="H112" s="217"/>
      <c r="I112" s="216"/>
      <c r="J112" s="215"/>
      <c r="K112" s="214"/>
      <c r="L112" s="213"/>
      <c r="M112" s="212"/>
      <c r="N112" s="211"/>
      <c r="O112" s="210"/>
    </row>
    <row r="113" spans="1:24" s="227" customFormat="1" ht="12" customHeight="1" x14ac:dyDescent="0.2">
      <c r="A113" s="223" t="s">
        <v>67</v>
      </c>
      <c r="B113" s="222" t="s">
        <v>123</v>
      </c>
      <c r="C113" s="221"/>
      <c r="D113" s="220"/>
      <c r="E113" s="228" t="s">
        <v>122</v>
      </c>
      <c r="F113" s="218"/>
      <c r="G113" s="213"/>
      <c r="H113" s="217">
        <v>154</v>
      </c>
      <c r="I113" s="216"/>
      <c r="J113" s="215"/>
      <c r="K113" s="214">
        <f>H113</f>
        <v>154</v>
      </c>
      <c r="L113" s="213"/>
      <c r="M113" s="212"/>
      <c r="N113" s="211"/>
      <c r="O113" s="210"/>
    </row>
    <row r="114" spans="1:24" x14ac:dyDescent="0.25">
      <c r="A114" s="223"/>
      <c r="B114" s="222"/>
      <c r="C114" s="221"/>
      <c r="D114" s="220"/>
      <c r="E114" s="219"/>
      <c r="F114" s="218"/>
      <c r="G114" s="213"/>
      <c r="H114" s="217"/>
      <c r="I114" s="216"/>
      <c r="J114" s="215"/>
      <c r="K114" s="214"/>
      <c r="L114" s="213"/>
      <c r="M114" s="212"/>
      <c r="N114" s="211"/>
      <c r="O114" s="210"/>
      <c r="Q114" s="227"/>
      <c r="R114" s="227"/>
      <c r="S114" s="227"/>
      <c r="T114" s="227"/>
      <c r="U114" s="227"/>
      <c r="V114" s="227"/>
      <c r="W114" s="227"/>
      <c r="X114" s="227"/>
    </row>
    <row r="115" spans="1:24" x14ac:dyDescent="0.25">
      <c r="A115" s="225" t="s">
        <v>121</v>
      </c>
      <c r="B115" s="224"/>
      <c r="C115" s="221"/>
      <c r="D115" s="220"/>
      <c r="E115" s="219"/>
      <c r="F115" s="218"/>
      <c r="G115" s="213"/>
      <c r="H115" s="217"/>
      <c r="I115" s="216"/>
      <c r="J115" s="215"/>
      <c r="K115" s="214"/>
      <c r="L115" s="213"/>
      <c r="M115" s="212"/>
      <c r="N115" s="211"/>
      <c r="O115" s="210"/>
      <c r="Q115" s="227"/>
      <c r="R115" s="227"/>
      <c r="S115" s="227"/>
      <c r="T115" s="227"/>
      <c r="U115" s="227"/>
      <c r="V115" s="227"/>
      <c r="W115" s="227"/>
      <c r="X115" s="227"/>
    </row>
    <row r="116" spans="1:24" x14ac:dyDescent="0.25">
      <c r="A116" s="223"/>
      <c r="B116" s="222"/>
      <c r="C116" s="221"/>
      <c r="D116" s="220"/>
      <c r="E116" s="219"/>
      <c r="F116" s="218"/>
      <c r="G116" s="213"/>
      <c r="H116" s="217"/>
      <c r="I116" s="216"/>
      <c r="J116" s="215"/>
      <c r="K116" s="214"/>
      <c r="L116" s="213"/>
      <c r="M116" s="212"/>
      <c r="N116" s="211"/>
      <c r="O116" s="210"/>
    </row>
    <row r="117" spans="1:24" x14ac:dyDescent="0.25">
      <c r="A117" s="223" t="s">
        <v>19</v>
      </c>
      <c r="B117" s="222" t="s">
        <v>120</v>
      </c>
      <c r="C117" s="221">
        <v>14640</v>
      </c>
      <c r="D117" s="220">
        <v>610</v>
      </c>
      <c r="E117" s="219">
        <v>13</v>
      </c>
      <c r="F117" s="218"/>
      <c r="G117" s="213"/>
      <c r="H117" s="217">
        <v>1</v>
      </c>
      <c r="I117" s="216"/>
      <c r="J117" s="215">
        <f>((C117*D117)/1000000)*H117</f>
        <v>8.9304000000000006</v>
      </c>
      <c r="K117" s="214">
        <f>J117/((C117*D117)/1000000)</f>
        <v>1</v>
      </c>
      <c r="L117" s="213"/>
      <c r="M117" s="212"/>
      <c r="N117" s="211"/>
      <c r="O117" s="210"/>
    </row>
    <row r="118" spans="1:24" x14ac:dyDescent="0.25">
      <c r="A118" s="223"/>
      <c r="B118" s="222"/>
      <c r="C118" s="221"/>
      <c r="D118" s="220"/>
      <c r="E118" s="219"/>
      <c r="F118" s="218"/>
      <c r="G118" s="213"/>
      <c r="H118" s="217"/>
      <c r="I118" s="216"/>
      <c r="J118" s="215"/>
      <c r="K118" s="226"/>
      <c r="L118" s="213"/>
      <c r="M118" s="212"/>
      <c r="N118" s="211"/>
      <c r="O118" s="210"/>
    </row>
    <row r="119" spans="1:24" x14ac:dyDescent="0.25">
      <c r="A119" s="223" t="s">
        <v>19</v>
      </c>
      <c r="B119" s="222" t="s">
        <v>120</v>
      </c>
      <c r="C119" s="221">
        <v>7320</v>
      </c>
      <c r="D119" s="220">
        <v>610</v>
      </c>
      <c r="E119" s="219">
        <v>25</v>
      </c>
      <c r="F119" s="218"/>
      <c r="G119" s="213"/>
      <c r="H119" s="217">
        <v>3</v>
      </c>
      <c r="I119" s="216"/>
      <c r="J119" s="215">
        <f>((C119*D119)/1000000)*H119</f>
        <v>13.395600000000002</v>
      </c>
      <c r="K119" s="214">
        <f>J119/((C119*D119)/1000000)</f>
        <v>3</v>
      </c>
      <c r="L119" s="213"/>
      <c r="M119" s="212"/>
      <c r="N119" s="211"/>
      <c r="O119" s="210"/>
    </row>
    <row r="120" spans="1:24" x14ac:dyDescent="0.25">
      <c r="A120" s="223"/>
      <c r="B120" s="222"/>
      <c r="C120" s="221"/>
      <c r="D120" s="220"/>
      <c r="E120" s="219"/>
      <c r="F120" s="218"/>
      <c r="G120" s="213"/>
      <c r="H120" s="217"/>
      <c r="I120" s="216"/>
      <c r="J120" s="215"/>
      <c r="K120" s="214"/>
      <c r="L120" s="213"/>
      <c r="M120" s="212"/>
      <c r="N120" s="211"/>
      <c r="O120" s="210"/>
    </row>
    <row r="121" spans="1:24" x14ac:dyDescent="0.25">
      <c r="A121" s="225" t="s">
        <v>119</v>
      </c>
      <c r="B121" s="224"/>
      <c r="C121" s="221"/>
      <c r="D121" s="220"/>
      <c r="E121" s="219"/>
      <c r="F121" s="218"/>
      <c r="G121" s="213"/>
      <c r="H121" s="217"/>
      <c r="I121" s="216"/>
      <c r="J121" s="215"/>
      <c r="K121" s="214"/>
      <c r="L121" s="213"/>
      <c r="M121" s="212"/>
      <c r="N121" s="211"/>
      <c r="O121" s="210"/>
    </row>
    <row r="122" spans="1:24" x14ac:dyDescent="0.25">
      <c r="A122" s="223"/>
      <c r="B122" s="222"/>
      <c r="C122" s="221"/>
      <c r="D122" s="220"/>
      <c r="E122" s="219"/>
      <c r="F122" s="218"/>
      <c r="G122" s="213"/>
      <c r="H122" s="217"/>
      <c r="I122" s="216"/>
      <c r="J122" s="215"/>
      <c r="K122" s="214"/>
      <c r="L122" s="213"/>
      <c r="M122" s="212"/>
      <c r="N122" s="211"/>
      <c r="O122" s="210"/>
    </row>
    <row r="123" spans="1:24" x14ac:dyDescent="0.25">
      <c r="A123" s="223" t="s">
        <v>118</v>
      </c>
      <c r="B123" s="222" t="s">
        <v>117</v>
      </c>
      <c r="C123" s="221"/>
      <c r="D123" s="220"/>
      <c r="E123" s="219"/>
      <c r="F123" s="218"/>
      <c r="G123" s="213"/>
      <c r="H123" s="217"/>
      <c r="I123" s="216"/>
      <c r="J123" s="215"/>
      <c r="K123" s="214"/>
      <c r="L123" s="213"/>
      <c r="M123" s="212">
        <f>((K82+K80+K78+K76+K74+K53+K47+K41+K15+K10)/100)*20</f>
        <v>2104.5194422231471</v>
      </c>
      <c r="N123" s="211"/>
      <c r="O123" s="210"/>
    </row>
    <row r="124" spans="1:24" x14ac:dyDescent="0.25">
      <c r="A124" s="209"/>
      <c r="B124" s="208"/>
      <c r="C124" s="207"/>
      <c r="D124" s="206"/>
      <c r="E124" s="205"/>
      <c r="F124" s="204"/>
      <c r="G124" s="203"/>
      <c r="H124" s="202"/>
      <c r="I124" s="201"/>
      <c r="J124" s="200"/>
      <c r="K124" s="199"/>
      <c r="L124" s="199"/>
      <c r="M124" s="198"/>
      <c r="N124" s="197"/>
      <c r="O124" s="196"/>
    </row>
  </sheetData>
  <mergeCells count="23">
    <mergeCell ref="A1:O1"/>
    <mergeCell ref="Q1:X1"/>
    <mergeCell ref="A2:B3"/>
    <mergeCell ref="C2:E2"/>
    <mergeCell ref="F2:I2"/>
    <mergeCell ref="J2:J3"/>
    <mergeCell ref="K2:K3"/>
    <mergeCell ref="L2:L3"/>
    <mergeCell ref="M2:M3"/>
    <mergeCell ref="N2:N3"/>
    <mergeCell ref="O2:O3"/>
    <mergeCell ref="Q2:R3"/>
    <mergeCell ref="S2:U2"/>
    <mergeCell ref="V2:V3"/>
    <mergeCell ref="W2:W3"/>
    <mergeCell ref="X2:X3"/>
    <mergeCell ref="A121:B121"/>
    <mergeCell ref="A5:B5"/>
    <mergeCell ref="A28:B28"/>
    <mergeCell ref="A70:B70"/>
    <mergeCell ref="A91:B91"/>
    <mergeCell ref="A99:B99"/>
    <mergeCell ref="A115:B115"/>
  </mergeCells>
  <printOptions horizontalCentered="1"/>
  <pageMargins left="0.19685039370078741" right="0" top="0.39370078740157483" bottom="0.3937007874015748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6"/>
  <sheetViews>
    <sheetView zoomScaleNormal="100" workbookViewId="0">
      <selection activeCell="G13" sqref="G13"/>
    </sheetView>
  </sheetViews>
  <sheetFormatPr defaultRowHeight="15" x14ac:dyDescent="0.25"/>
  <sheetData>
    <row r="4" spans="2:3" ht="15.75" thickBot="1" x14ac:dyDescent="0.3"/>
    <row r="5" spans="2:3" ht="30" customHeight="1" thickBot="1" x14ac:dyDescent="0.3">
      <c r="B5" s="138" t="s">
        <v>6</v>
      </c>
      <c r="C5" s="139"/>
    </row>
    <row r="6" spans="2:3" ht="30" customHeight="1" x14ac:dyDescent="0.25">
      <c r="B6" s="48">
        <v>0.1</v>
      </c>
      <c r="C6" s="47">
        <v>1.1000000000000001</v>
      </c>
    </row>
    <row r="7" spans="2:3" ht="30" customHeight="1" x14ac:dyDescent="0.25">
      <c r="B7" s="15">
        <v>0.15</v>
      </c>
      <c r="C7" s="16">
        <v>1.18</v>
      </c>
    </row>
    <row r="8" spans="2:3" ht="30" customHeight="1" x14ac:dyDescent="0.25">
      <c r="B8" s="17">
        <v>0.2</v>
      </c>
      <c r="C8" s="18">
        <v>1.25</v>
      </c>
    </row>
    <row r="9" spans="2:3" ht="30" customHeight="1" x14ac:dyDescent="0.25">
      <c r="B9" s="19">
        <v>0.23</v>
      </c>
      <c r="C9" s="20">
        <v>1.3</v>
      </c>
    </row>
    <row r="10" spans="2:3" ht="30" customHeight="1" x14ac:dyDescent="0.25">
      <c r="B10" s="19">
        <v>0.25</v>
      </c>
      <c r="C10" s="20">
        <v>1.35</v>
      </c>
    </row>
    <row r="11" spans="2:3" ht="30" customHeight="1" x14ac:dyDescent="0.25">
      <c r="B11" s="19">
        <v>0.28000000000000003</v>
      </c>
      <c r="C11" s="20">
        <v>1.4</v>
      </c>
    </row>
    <row r="12" spans="2:3" ht="30" customHeight="1" x14ac:dyDescent="0.25">
      <c r="B12" s="21">
        <v>0.3</v>
      </c>
      <c r="C12" s="20">
        <v>1.43</v>
      </c>
    </row>
    <row r="13" spans="2:3" ht="30" customHeight="1" x14ac:dyDescent="0.25">
      <c r="B13" s="15">
        <v>0.35</v>
      </c>
      <c r="C13" s="16">
        <v>1.54</v>
      </c>
    </row>
    <row r="14" spans="2:3" ht="30" customHeight="1" x14ac:dyDescent="0.25">
      <c r="B14" s="22">
        <v>0.4</v>
      </c>
      <c r="C14" s="23">
        <v>1.67</v>
      </c>
    </row>
    <row r="15" spans="2:3" ht="30" customHeight="1" x14ac:dyDescent="0.25">
      <c r="B15" s="24">
        <v>0.45</v>
      </c>
      <c r="C15" s="23">
        <v>1.82</v>
      </c>
    </row>
    <row r="16" spans="2:3" ht="30" customHeight="1" thickBot="1" x14ac:dyDescent="0.3">
      <c r="B16" s="25">
        <v>0.5</v>
      </c>
      <c r="C16" s="26">
        <v>2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20-03-2017</vt:lpstr>
      <vt:lpstr>computo TIPO "A"</vt:lpstr>
      <vt:lpstr>computo TIPO "B"</vt:lpstr>
      <vt:lpstr>fattore di ricarica</vt:lpstr>
      <vt:lpstr>'20-03-2017'!Area_stampa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Nicola</cp:lastModifiedBy>
  <cp:lastPrinted>2017-05-17T08:25:01Z</cp:lastPrinted>
  <dcterms:created xsi:type="dcterms:W3CDTF">2010-04-28T09:24:56Z</dcterms:created>
  <dcterms:modified xsi:type="dcterms:W3CDTF">2017-05-23T14:12:45Z</dcterms:modified>
</cp:coreProperties>
</file>